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8800" windowHeight="12435" firstSheet="2" activeTab="2"/>
  </bookViews>
  <sheets>
    <sheet name="10 Mos Actual" sheetId="1" state="hidden" r:id="rId1"/>
    <sheet name="11 Mos Actual" sheetId="38" state="hidden" r:id="rId2"/>
    <sheet name="2016-07" sheetId="2" r:id="rId3"/>
    <sheet name="Sheet1" sheetId="39" r:id="rId4"/>
  </sheets>
  <externalReferences>
    <externalReference r:id="rId7"/>
    <externalReference r:id="rId8"/>
    <externalReference r:id="rId9"/>
  </externalReferences>
  <definedNames>
    <definedName name="_xlnm.Print_Area" localSheetId="0">'10 Mos Actual'!$E$5:$AS$115</definedName>
    <definedName name="_xlnm.Print_Area" localSheetId="1">'11 Mos Actual'!$E$5:$AR$115</definedName>
    <definedName name="_xlnm.Print_Area" localSheetId="2">'2016-07'!$E$127:$U$159</definedName>
    <definedName name="QB_COLUMN_102101" localSheetId="0" hidden="1">'10 Mos Actual'!$O$4</definedName>
    <definedName name="QB_COLUMN_102101" localSheetId="1" hidden="1">'11 Mos Actual'!$O$4</definedName>
    <definedName name="QB_COLUMN_12101" localSheetId="0" hidden="1">'10 Mos Actual'!$E$4</definedName>
    <definedName name="QB_COLUMN_12101" localSheetId="1" hidden="1">'11 Mos Actual'!$E$4</definedName>
    <definedName name="QB_COLUMN_122200" localSheetId="0" hidden="1">'10 Mos Actual'!$T$3</definedName>
    <definedName name="QB_COLUMN_122200" localSheetId="1" hidden="1">'11 Mos Actual'!$T$3</definedName>
    <definedName name="QB_COLUMN_122201" localSheetId="0" hidden="1">'10 Mos Actual'!$T$4</definedName>
    <definedName name="QB_COLUMN_122201" localSheetId="1" hidden="1">'11 Mos Actual'!$T$4</definedName>
    <definedName name="QB_COLUMN_123101" localSheetId="0" hidden="1">'10 Mos Actual'!$U$4</definedName>
    <definedName name="QB_COLUMN_123101" localSheetId="1" hidden="1">'11 Mos Actual'!$U$4</definedName>
    <definedName name="QB_COLUMN_132200" localSheetId="0" hidden="1">'10 Mos Actual'!$V$3</definedName>
    <definedName name="QB_COLUMN_132200" localSheetId="1" hidden="1">'11 Mos Actual'!$V$3</definedName>
    <definedName name="QB_COLUMN_132201" localSheetId="0" hidden="1">'10 Mos Actual'!$V$4</definedName>
    <definedName name="QB_COLUMN_132201" localSheetId="1" hidden="1">'11 Mos Actual'!$V$4</definedName>
    <definedName name="QB_COLUMN_152200" localSheetId="0" hidden="1">'10 Mos Actual'!$W$3</definedName>
    <definedName name="QB_COLUMN_152200" localSheetId="1" hidden="1">'11 Mos Actual'!$W$3</definedName>
    <definedName name="QB_COLUMN_152201" localSheetId="0" hidden="1">'10 Mos Actual'!$W$4</definedName>
    <definedName name="QB_COLUMN_152201" localSheetId="1" hidden="1">'11 Mos Actual'!$W$4</definedName>
    <definedName name="QB_COLUMN_172200" localSheetId="0" hidden="1">'10 Mos Actual'!$X$3</definedName>
    <definedName name="QB_COLUMN_172200" localSheetId="1" hidden="1">'11 Mos Actual'!$X$3</definedName>
    <definedName name="QB_COLUMN_172201" localSheetId="0" hidden="1">'10 Mos Actual'!$X$4</definedName>
    <definedName name="QB_COLUMN_172201" localSheetId="1" hidden="1">'11 Mos Actual'!$X$4</definedName>
    <definedName name="QB_COLUMN_182200" localSheetId="0" hidden="1">'10 Mos Actual'!$Y$3</definedName>
    <definedName name="QB_COLUMN_182200" localSheetId="1" hidden="1">'11 Mos Actual'!$Y$3</definedName>
    <definedName name="QB_COLUMN_182201" localSheetId="0" hidden="1">'10 Mos Actual'!$Y$4</definedName>
    <definedName name="QB_COLUMN_182201" localSheetId="1" hidden="1">'11 Mos Actual'!$Y$4</definedName>
    <definedName name="QB_COLUMN_212200" localSheetId="0" hidden="1">'10 Mos Actual'!$AB$3</definedName>
    <definedName name="QB_COLUMN_212200" localSheetId="1" hidden="1">'11 Mos Actual'!$AB$3</definedName>
    <definedName name="QB_COLUMN_212201" localSheetId="0" hidden="1">'10 Mos Actual'!$Z$4</definedName>
    <definedName name="QB_COLUMN_212201" localSheetId="1" hidden="1">'11 Mos Actual'!$Z$4</definedName>
    <definedName name="QB_COLUMN_22101" localSheetId="0" hidden="1">'10 Mos Actual'!$F$4</definedName>
    <definedName name="QB_COLUMN_22101" localSheetId="1" hidden="1">'11 Mos Actual'!$F$4</definedName>
    <definedName name="QB_COLUMN_222101" localSheetId="0" hidden="1">'10 Mos Actual'!$AB$4</definedName>
    <definedName name="QB_COLUMN_222101" localSheetId="1" hidden="1">'11 Mos Actual'!$AB$4</definedName>
    <definedName name="QB_COLUMN_232101" localSheetId="0" hidden="1">'10 Mos Actual'!$AC$4</definedName>
    <definedName name="QB_COLUMN_232101" localSheetId="1" hidden="1">'11 Mos Actual'!$AC$4</definedName>
    <definedName name="QB_COLUMN_252101" localSheetId="0" hidden="1">'10 Mos Actual'!$AD$4</definedName>
    <definedName name="QB_COLUMN_252101" localSheetId="1" hidden="1">'11 Mos Actual'!$AD$4</definedName>
    <definedName name="QB_COLUMN_262101" localSheetId="0" hidden="1">'10 Mos Actual'!$AE$4</definedName>
    <definedName name="QB_COLUMN_262101" localSheetId="1" hidden="1">'11 Mos Actual'!$AE$4</definedName>
    <definedName name="QB_COLUMN_272101" localSheetId="0" hidden="1">'10 Mos Actual'!$AF$4</definedName>
    <definedName name="QB_COLUMN_272101" localSheetId="1" hidden="1">'11 Mos Actual'!$AF$4</definedName>
    <definedName name="QB_COLUMN_282101" localSheetId="0" hidden="1">'10 Mos Actual'!$AG$4</definedName>
    <definedName name="QB_COLUMN_282101" localSheetId="1" hidden="1">'11 Mos Actual'!$AG$4</definedName>
    <definedName name="QB_COLUMN_292101" localSheetId="0" hidden="1">'10 Mos Actual'!$AH$4</definedName>
    <definedName name="QB_COLUMN_292101" localSheetId="1" hidden="1">'11 Mos Actual'!$AH$4</definedName>
    <definedName name="QB_COLUMN_302101" localSheetId="0" hidden="1">'10 Mos Actual'!$AI$4</definedName>
    <definedName name="QB_COLUMN_302101" localSheetId="1" hidden="1">'11 Mos Actual'!$AI$4</definedName>
    <definedName name="QB_COLUMN_312101" localSheetId="0" hidden="1">'10 Mos Actual'!$AJ$4</definedName>
    <definedName name="QB_COLUMN_312101" localSheetId="1" hidden="1">'11 Mos Actual'!$AJ$4</definedName>
    <definedName name="QB_COLUMN_32101" localSheetId="0" hidden="1">'10 Mos Actual'!$J$4</definedName>
    <definedName name="QB_COLUMN_32101" localSheetId="1" hidden="1">'11 Mos Actual'!$J$4</definedName>
    <definedName name="QB_COLUMN_332101" localSheetId="0" hidden="1">'10 Mos Actual'!$AL$4</definedName>
    <definedName name="QB_COLUMN_332101" localSheetId="1" hidden="1">'11 Mos Actual'!$AL$4</definedName>
    <definedName name="QB_COLUMN_342200" localSheetId="0" hidden="1">'10 Mos Actual'!$P$3</definedName>
    <definedName name="QB_COLUMN_342200" localSheetId="1" hidden="1">'11 Mos Actual'!$P$3</definedName>
    <definedName name="QB_COLUMN_342201" localSheetId="0" hidden="1">'10 Mos Actual'!$P$4</definedName>
    <definedName name="QB_COLUMN_342201" localSheetId="1" hidden="1">'11 Mos Actual'!$P$4</definedName>
    <definedName name="QB_COLUMN_352200" localSheetId="0" hidden="1">'10 Mos Actual'!$Q$3</definedName>
    <definedName name="QB_COLUMN_352200" localSheetId="1" hidden="1">'11 Mos Actual'!$Q$3</definedName>
    <definedName name="QB_COLUMN_352201" localSheetId="0" hidden="1">'10 Mos Actual'!$Q$4</definedName>
    <definedName name="QB_COLUMN_352201" localSheetId="1" hidden="1">'11 Mos Actual'!$Q$4</definedName>
    <definedName name="QB_COLUMN_362200" localSheetId="0" hidden="1">'10 Mos Actual'!$S$3</definedName>
    <definedName name="QB_COLUMN_362200" localSheetId="1" hidden="1">'11 Mos Actual'!$S$3</definedName>
    <definedName name="QB_COLUMN_362201" localSheetId="0" hidden="1">'10 Mos Actual'!$S$4</definedName>
    <definedName name="QB_COLUMN_362201" localSheetId="1" hidden="1">'11 Mos Actual'!$S$4</definedName>
    <definedName name="QB_COLUMN_372200" localSheetId="0" hidden="1">'10 Mos Actual'!$R$3</definedName>
    <definedName name="QB_COLUMN_372200" localSheetId="1" hidden="1">'11 Mos Actual'!$R$3</definedName>
    <definedName name="QB_COLUMN_372201" localSheetId="0" hidden="1">'10 Mos Actual'!$R$4</definedName>
    <definedName name="QB_COLUMN_372201" localSheetId="1" hidden="1">'11 Mos Actual'!$R$4</definedName>
    <definedName name="QB_COLUMN_42101" localSheetId="0" hidden="1">'10 Mos Actual'!$G$4</definedName>
    <definedName name="QB_COLUMN_42101" localSheetId="1" hidden="1">'11 Mos Actual'!$G$4</definedName>
    <definedName name="QB_COLUMN_423011" localSheetId="0" hidden="1">'10 Mos Actual'!$AM$4</definedName>
    <definedName name="QB_COLUMN_423011" localSheetId="1" hidden="1">'11 Mos Actual'!$AM$4</definedName>
    <definedName name="QB_COLUMN_452101" localSheetId="0" hidden="1">'10 Mos Actual'!$N$4</definedName>
    <definedName name="QB_COLUMN_452101" localSheetId="1" hidden="1">'11 Mos Actual'!$N$4</definedName>
    <definedName name="QB_COLUMN_452111" localSheetId="0" hidden="1">#REF!</definedName>
    <definedName name="QB_COLUMN_452111" localSheetId="1" hidden="1">#REF!</definedName>
    <definedName name="QB_COLUMN_462101" localSheetId="0" hidden="1">'10 Mos Actual'!$AK$4</definedName>
    <definedName name="QB_COLUMN_462101" localSheetId="1" hidden="1">'11 Mos Actual'!$AK$4</definedName>
    <definedName name="QB_COLUMN_473101" localSheetId="0" hidden="1">'10 Mos Actual'!$AA$4</definedName>
    <definedName name="QB_COLUMN_473101" localSheetId="1" hidden="1">'11 Mos Actual'!$AA$4</definedName>
    <definedName name="QB_COLUMN_52101" localSheetId="0" hidden="1">'10 Mos Actual'!$H$4</definedName>
    <definedName name="QB_COLUMN_52101" localSheetId="1" hidden="1">'11 Mos Actual'!$H$4</definedName>
    <definedName name="QB_COLUMN_59201" localSheetId="0" hidden="1">#REF!</definedName>
    <definedName name="QB_COLUMN_59201" localSheetId="1" hidden="1">#REF!</definedName>
    <definedName name="QB_COLUMN_592010" localSheetId="0" hidden="1">#REF!</definedName>
    <definedName name="QB_COLUMN_592010" localSheetId="1" hidden="1">#REF!</definedName>
    <definedName name="QB_COLUMN_592012" localSheetId="0" hidden="1">#REF!</definedName>
    <definedName name="QB_COLUMN_592012" localSheetId="1" hidden="1">#REF!</definedName>
    <definedName name="QB_COLUMN_592013" localSheetId="0" hidden="1">#REF!</definedName>
    <definedName name="QB_COLUMN_592013" localSheetId="1" hidden="1">#REF!</definedName>
    <definedName name="QB_COLUMN_592015" localSheetId="0" hidden="1">#REF!</definedName>
    <definedName name="QB_COLUMN_592015" localSheetId="1" hidden="1">#REF!</definedName>
    <definedName name="QB_COLUMN_592017" localSheetId="0" hidden="1">#REF!</definedName>
    <definedName name="QB_COLUMN_592017" localSheetId="1" hidden="1">#REF!</definedName>
    <definedName name="QB_COLUMN_592018" localSheetId="0" hidden="1">#REF!</definedName>
    <definedName name="QB_COLUMN_592018" localSheetId="1" hidden="1">#REF!</definedName>
    <definedName name="QB_COLUMN_59202" localSheetId="0" hidden="1">#REF!</definedName>
    <definedName name="QB_COLUMN_59202" localSheetId="1" hidden="1">#REF!</definedName>
    <definedName name="QB_COLUMN_592021" localSheetId="0" hidden="1">#REF!</definedName>
    <definedName name="QB_COLUMN_592021" localSheetId="1" hidden="1">#REF!</definedName>
    <definedName name="QB_COLUMN_592022" localSheetId="0" hidden="1">#REF!</definedName>
    <definedName name="QB_COLUMN_592022" localSheetId="1" hidden="1">#REF!</definedName>
    <definedName name="QB_COLUMN_592023" localSheetId="0" hidden="1">#REF!</definedName>
    <definedName name="QB_COLUMN_592023" localSheetId="1" hidden="1">#REF!</definedName>
    <definedName name="QB_COLUMN_592025" localSheetId="0" hidden="1">#REF!</definedName>
    <definedName name="QB_COLUMN_592025" localSheetId="1" hidden="1">#REF!</definedName>
    <definedName name="QB_COLUMN_592026" localSheetId="0" hidden="1">#REF!</definedName>
    <definedName name="QB_COLUMN_592026" localSheetId="1" hidden="1">#REF!</definedName>
    <definedName name="QB_COLUMN_592027" localSheetId="0" hidden="1">#REF!</definedName>
    <definedName name="QB_COLUMN_592027" localSheetId="1" hidden="1">#REF!</definedName>
    <definedName name="QB_COLUMN_592028" localSheetId="0" hidden="1">#REF!</definedName>
    <definedName name="QB_COLUMN_592028" localSheetId="1" hidden="1">#REF!</definedName>
    <definedName name="QB_COLUMN_592029" localSheetId="0" hidden="1">#REF!</definedName>
    <definedName name="QB_COLUMN_592029" localSheetId="1" hidden="1">#REF!</definedName>
    <definedName name="QB_COLUMN_59203" localSheetId="0" hidden="1">#REF!</definedName>
    <definedName name="QB_COLUMN_59203" localSheetId="1" hidden="1">#REF!</definedName>
    <definedName name="QB_COLUMN_592030" localSheetId="0" hidden="1">#REF!</definedName>
    <definedName name="QB_COLUMN_592030" localSheetId="1" hidden="1">#REF!</definedName>
    <definedName name="QB_COLUMN_592031" localSheetId="0" hidden="1">#REF!</definedName>
    <definedName name="QB_COLUMN_592031" localSheetId="1" hidden="1">#REF!</definedName>
    <definedName name="QB_COLUMN_592033" localSheetId="0" hidden="1">#REF!</definedName>
    <definedName name="QB_COLUMN_592033" localSheetId="1" hidden="1">#REF!</definedName>
    <definedName name="QB_COLUMN_592034" localSheetId="0" hidden="1">#REF!</definedName>
    <definedName name="QB_COLUMN_592034" localSheetId="1" hidden="1">#REF!</definedName>
    <definedName name="QB_COLUMN_592035" localSheetId="0" hidden="1">#REF!</definedName>
    <definedName name="QB_COLUMN_592035" localSheetId="1" hidden="1">#REF!</definedName>
    <definedName name="QB_COLUMN_592036" localSheetId="0" hidden="1">#REF!</definedName>
    <definedName name="QB_COLUMN_592036" localSheetId="1" hidden="1">#REF!</definedName>
    <definedName name="QB_COLUMN_592037" localSheetId="0" hidden="1">#REF!</definedName>
    <definedName name="QB_COLUMN_592037" localSheetId="1" hidden="1">#REF!</definedName>
    <definedName name="QB_COLUMN_59204" localSheetId="0" hidden="1">#REF!</definedName>
    <definedName name="QB_COLUMN_59204" localSheetId="1" hidden="1">#REF!</definedName>
    <definedName name="QB_COLUMN_592045" localSheetId="0" hidden="1">#REF!</definedName>
    <definedName name="QB_COLUMN_592045" localSheetId="1" hidden="1">#REF!</definedName>
    <definedName name="QB_COLUMN_592046" localSheetId="0" hidden="1">#REF!</definedName>
    <definedName name="QB_COLUMN_592046" localSheetId="1" hidden="1">#REF!</definedName>
    <definedName name="QB_COLUMN_59205" localSheetId="0" hidden="1">#REF!</definedName>
    <definedName name="QB_COLUMN_59205" localSheetId="1" hidden="1">#REF!</definedName>
    <definedName name="QB_COLUMN_592050" localSheetId="0" hidden="1">#REF!</definedName>
    <definedName name="QB_COLUMN_592050" localSheetId="1" hidden="1">#REF!</definedName>
    <definedName name="QB_COLUMN_59206" localSheetId="0" hidden="1">#REF!</definedName>
    <definedName name="QB_COLUMN_59206" localSheetId="1" hidden="1">#REF!</definedName>
    <definedName name="QB_COLUMN_59207" localSheetId="0" hidden="1">#REF!</definedName>
    <definedName name="QB_COLUMN_59207" localSheetId="1" hidden="1">#REF!</definedName>
    <definedName name="QB_COLUMN_59208" localSheetId="0" hidden="1">#REF!</definedName>
    <definedName name="QB_COLUMN_59208" localSheetId="1" hidden="1">#REF!</definedName>
    <definedName name="QB_COLUMN_59209" localSheetId="0" hidden="1">#REF!</definedName>
    <definedName name="QB_COLUMN_59209" localSheetId="1" hidden="1">#REF!</definedName>
    <definedName name="QB_COLUMN_59300" localSheetId="0" hidden="1">#REF!</definedName>
    <definedName name="QB_COLUMN_59300" localSheetId="1" hidden="1">#REF!</definedName>
    <definedName name="QB_COLUMN_593012" localSheetId="0" hidden="1">#REF!</definedName>
    <definedName name="QB_COLUMN_593012" localSheetId="1" hidden="1">#REF!</definedName>
    <definedName name="QB_COLUMN_593047" localSheetId="0" hidden="1">#REF!</definedName>
    <definedName name="QB_COLUMN_593047" localSheetId="1" hidden="1">#REF!</definedName>
    <definedName name="QB_COLUMN_62101" localSheetId="0" hidden="1">'10 Mos Actual'!$I$4</definedName>
    <definedName name="QB_COLUMN_62101" localSheetId="1" hidden="1">'11 Mos Actual'!$I$4</definedName>
    <definedName name="QB_COLUMN_63620" localSheetId="0" hidden="1">#REF!</definedName>
    <definedName name="QB_COLUMN_63620" localSheetId="1" hidden="1">#REF!</definedName>
    <definedName name="QB_COLUMN_63621" localSheetId="0" hidden="1">#REF!</definedName>
    <definedName name="QB_COLUMN_63621" localSheetId="1" hidden="1">#REF!</definedName>
    <definedName name="QB_COLUMN_636210" localSheetId="0" hidden="1">#REF!</definedName>
    <definedName name="QB_COLUMN_636210" localSheetId="1" hidden="1">#REF!</definedName>
    <definedName name="QB_COLUMN_636212" localSheetId="0" hidden="1">#REF!</definedName>
    <definedName name="QB_COLUMN_636212" localSheetId="1" hidden="1">#REF!</definedName>
    <definedName name="QB_COLUMN_636213" localSheetId="0" hidden="1">#REF!</definedName>
    <definedName name="QB_COLUMN_636213" localSheetId="1" hidden="1">#REF!</definedName>
    <definedName name="QB_COLUMN_636215" localSheetId="0" hidden="1">#REF!</definedName>
    <definedName name="QB_COLUMN_636215" localSheetId="1" hidden="1">#REF!</definedName>
    <definedName name="QB_COLUMN_636217" localSheetId="0" hidden="1">#REF!</definedName>
    <definedName name="QB_COLUMN_636217" localSheetId="1" hidden="1">#REF!</definedName>
    <definedName name="QB_COLUMN_636218" localSheetId="0" hidden="1">#REF!</definedName>
    <definedName name="QB_COLUMN_636218" localSheetId="1" hidden="1">#REF!</definedName>
    <definedName name="QB_COLUMN_63622" localSheetId="0" hidden="1">#REF!</definedName>
    <definedName name="QB_COLUMN_63622" localSheetId="1" hidden="1">#REF!</definedName>
    <definedName name="QB_COLUMN_636221" localSheetId="0" hidden="1">#REF!</definedName>
    <definedName name="QB_COLUMN_636221" localSheetId="1" hidden="1">#REF!</definedName>
    <definedName name="QB_COLUMN_636222" localSheetId="0" hidden="1">#REF!</definedName>
    <definedName name="QB_COLUMN_636222" localSheetId="1" hidden="1">#REF!</definedName>
    <definedName name="QB_COLUMN_636223" localSheetId="0" hidden="1">#REF!</definedName>
    <definedName name="QB_COLUMN_636223" localSheetId="1" hidden="1">#REF!</definedName>
    <definedName name="QB_COLUMN_636225" localSheetId="0" hidden="1">#REF!</definedName>
    <definedName name="QB_COLUMN_636225" localSheetId="1" hidden="1">#REF!</definedName>
    <definedName name="QB_COLUMN_636226" localSheetId="0" hidden="1">#REF!</definedName>
    <definedName name="QB_COLUMN_636226" localSheetId="1" hidden="1">#REF!</definedName>
    <definedName name="QB_COLUMN_636227" localSheetId="0" hidden="1">#REF!</definedName>
    <definedName name="QB_COLUMN_636227" localSheetId="1" hidden="1">#REF!</definedName>
    <definedName name="QB_COLUMN_636228" localSheetId="0" hidden="1">#REF!</definedName>
    <definedName name="QB_COLUMN_636228" localSheetId="1" hidden="1">#REF!</definedName>
    <definedName name="QB_COLUMN_636229" localSheetId="0" hidden="1">#REF!</definedName>
    <definedName name="QB_COLUMN_636229" localSheetId="1" hidden="1">#REF!</definedName>
    <definedName name="QB_COLUMN_63623" localSheetId="0" hidden="1">#REF!</definedName>
    <definedName name="QB_COLUMN_63623" localSheetId="1" hidden="1">#REF!</definedName>
    <definedName name="QB_COLUMN_636230" localSheetId="0" hidden="1">#REF!</definedName>
    <definedName name="QB_COLUMN_636230" localSheetId="1" hidden="1">#REF!</definedName>
    <definedName name="QB_COLUMN_636231" localSheetId="0" hidden="1">#REF!</definedName>
    <definedName name="QB_COLUMN_636231" localSheetId="1" hidden="1">#REF!</definedName>
    <definedName name="QB_COLUMN_636233" localSheetId="0" hidden="1">#REF!</definedName>
    <definedName name="QB_COLUMN_636233" localSheetId="1" hidden="1">#REF!</definedName>
    <definedName name="QB_COLUMN_636234" localSheetId="0" hidden="1">#REF!</definedName>
    <definedName name="QB_COLUMN_636234" localSheetId="1" hidden="1">#REF!</definedName>
    <definedName name="QB_COLUMN_636235" localSheetId="0" hidden="1">#REF!</definedName>
    <definedName name="QB_COLUMN_636235" localSheetId="1" hidden="1">#REF!</definedName>
    <definedName name="QB_COLUMN_636236" localSheetId="0" hidden="1">#REF!</definedName>
    <definedName name="QB_COLUMN_636236" localSheetId="1" hidden="1">#REF!</definedName>
    <definedName name="QB_COLUMN_636237" localSheetId="0" hidden="1">#REF!</definedName>
    <definedName name="QB_COLUMN_636237" localSheetId="1" hidden="1">#REF!</definedName>
    <definedName name="QB_COLUMN_63624" localSheetId="0" hidden="1">#REF!</definedName>
    <definedName name="QB_COLUMN_63624" localSheetId="1" hidden="1">#REF!</definedName>
    <definedName name="QB_COLUMN_636245" localSheetId="0" hidden="1">#REF!</definedName>
    <definedName name="QB_COLUMN_636245" localSheetId="1" hidden="1">#REF!</definedName>
    <definedName name="QB_COLUMN_636246" localSheetId="0" hidden="1">#REF!</definedName>
    <definedName name="QB_COLUMN_636246" localSheetId="1" hidden="1">#REF!</definedName>
    <definedName name="QB_COLUMN_636247" localSheetId="0" hidden="1">#REF!</definedName>
    <definedName name="QB_COLUMN_636247" localSheetId="1" hidden="1">#REF!</definedName>
    <definedName name="QB_COLUMN_63625" localSheetId="0" hidden="1">#REF!</definedName>
    <definedName name="QB_COLUMN_63625" localSheetId="1" hidden="1">#REF!</definedName>
    <definedName name="QB_COLUMN_636250" localSheetId="0" hidden="1">#REF!</definedName>
    <definedName name="QB_COLUMN_636250" localSheetId="1" hidden="1">#REF!</definedName>
    <definedName name="QB_COLUMN_63626" localSheetId="0" hidden="1">#REF!</definedName>
    <definedName name="QB_COLUMN_63626" localSheetId="1" hidden="1">#REF!</definedName>
    <definedName name="QB_COLUMN_63627" localSheetId="0" hidden="1">#REF!</definedName>
    <definedName name="QB_COLUMN_63627" localSheetId="1" hidden="1">#REF!</definedName>
    <definedName name="QB_COLUMN_63628" localSheetId="0" hidden="1">#REF!</definedName>
    <definedName name="QB_COLUMN_63628" localSheetId="1" hidden="1">#REF!</definedName>
    <definedName name="QB_COLUMN_63629" localSheetId="0" hidden="1">#REF!</definedName>
    <definedName name="QB_COLUMN_63629" localSheetId="1" hidden="1">#REF!</definedName>
    <definedName name="QB_COLUMN_64430" localSheetId="0" hidden="1">#REF!</definedName>
    <definedName name="QB_COLUMN_64430" localSheetId="1" hidden="1">#REF!</definedName>
    <definedName name="QB_COLUMN_64431" localSheetId="0" hidden="1">#REF!</definedName>
    <definedName name="QB_COLUMN_64431" localSheetId="1" hidden="1">#REF!</definedName>
    <definedName name="QB_COLUMN_644310" localSheetId="0" hidden="1">#REF!</definedName>
    <definedName name="QB_COLUMN_644310" localSheetId="1" hidden="1">#REF!</definedName>
    <definedName name="QB_COLUMN_644312" localSheetId="0" hidden="1">#REF!</definedName>
    <definedName name="QB_COLUMN_644312" localSheetId="1" hidden="1">#REF!</definedName>
    <definedName name="QB_COLUMN_644313" localSheetId="0" hidden="1">#REF!</definedName>
    <definedName name="QB_COLUMN_644313" localSheetId="1" hidden="1">#REF!</definedName>
    <definedName name="QB_COLUMN_644315" localSheetId="0" hidden="1">#REF!</definedName>
    <definedName name="QB_COLUMN_644315" localSheetId="1" hidden="1">#REF!</definedName>
    <definedName name="QB_COLUMN_644317" localSheetId="0" hidden="1">#REF!</definedName>
    <definedName name="QB_COLUMN_644317" localSheetId="1" hidden="1">#REF!</definedName>
    <definedName name="QB_COLUMN_644318" localSheetId="0" hidden="1">#REF!</definedName>
    <definedName name="QB_COLUMN_644318" localSheetId="1" hidden="1">#REF!</definedName>
    <definedName name="QB_COLUMN_64432" localSheetId="0" hidden="1">#REF!</definedName>
    <definedName name="QB_COLUMN_64432" localSheetId="1" hidden="1">#REF!</definedName>
    <definedName name="QB_COLUMN_644321" localSheetId="0" hidden="1">#REF!</definedName>
    <definedName name="QB_COLUMN_644321" localSheetId="1" hidden="1">#REF!</definedName>
    <definedName name="QB_COLUMN_644322" localSheetId="0" hidden="1">#REF!</definedName>
    <definedName name="QB_COLUMN_644322" localSheetId="1" hidden="1">#REF!</definedName>
    <definedName name="QB_COLUMN_644323" localSheetId="0" hidden="1">#REF!</definedName>
    <definedName name="QB_COLUMN_644323" localSheetId="1" hidden="1">#REF!</definedName>
    <definedName name="QB_COLUMN_644325" localSheetId="0" hidden="1">#REF!</definedName>
    <definedName name="QB_COLUMN_644325" localSheetId="1" hidden="1">#REF!</definedName>
    <definedName name="QB_COLUMN_644326" localSheetId="0" hidden="1">#REF!</definedName>
    <definedName name="QB_COLUMN_644326" localSheetId="1" hidden="1">#REF!</definedName>
    <definedName name="QB_COLUMN_644327" localSheetId="0" hidden="1">#REF!</definedName>
    <definedName name="QB_COLUMN_644327" localSheetId="1" hidden="1">#REF!</definedName>
    <definedName name="QB_COLUMN_644328" localSheetId="0" hidden="1">#REF!</definedName>
    <definedName name="QB_COLUMN_644328" localSheetId="1" hidden="1">#REF!</definedName>
    <definedName name="QB_COLUMN_644329" localSheetId="0" hidden="1">#REF!</definedName>
    <definedName name="QB_COLUMN_644329" localSheetId="1" hidden="1">#REF!</definedName>
    <definedName name="QB_COLUMN_64433" localSheetId="0" hidden="1">#REF!</definedName>
    <definedName name="QB_COLUMN_64433" localSheetId="1" hidden="1">#REF!</definedName>
    <definedName name="QB_COLUMN_644330" localSheetId="0" hidden="1">#REF!</definedName>
    <definedName name="QB_COLUMN_644330" localSheetId="1" hidden="1">#REF!</definedName>
    <definedName name="QB_COLUMN_644331" localSheetId="0" hidden="1">#REF!</definedName>
    <definedName name="QB_COLUMN_644331" localSheetId="1" hidden="1">#REF!</definedName>
    <definedName name="QB_COLUMN_644333" localSheetId="0" hidden="1">#REF!</definedName>
    <definedName name="QB_COLUMN_644333" localSheetId="1" hidden="1">#REF!</definedName>
    <definedName name="QB_COLUMN_644334" localSheetId="0" hidden="1">#REF!</definedName>
    <definedName name="QB_COLUMN_644334" localSheetId="1" hidden="1">#REF!</definedName>
    <definedName name="QB_COLUMN_644335" localSheetId="0" hidden="1">#REF!</definedName>
    <definedName name="QB_COLUMN_644335" localSheetId="1" hidden="1">#REF!</definedName>
    <definedName name="QB_COLUMN_644336" localSheetId="0" hidden="1">#REF!</definedName>
    <definedName name="QB_COLUMN_644336" localSheetId="1" hidden="1">#REF!</definedName>
    <definedName name="QB_COLUMN_644337" localSheetId="0" hidden="1">#REF!</definedName>
    <definedName name="QB_COLUMN_644337" localSheetId="1" hidden="1">#REF!</definedName>
    <definedName name="QB_COLUMN_64434" localSheetId="0" hidden="1">#REF!</definedName>
    <definedName name="QB_COLUMN_64434" localSheetId="1" hidden="1">#REF!</definedName>
    <definedName name="QB_COLUMN_644345" localSheetId="0" hidden="1">#REF!</definedName>
    <definedName name="QB_COLUMN_644345" localSheetId="1" hidden="1">#REF!</definedName>
    <definedName name="QB_COLUMN_644346" localSheetId="0" hidden="1">#REF!</definedName>
    <definedName name="QB_COLUMN_644346" localSheetId="1" hidden="1">#REF!</definedName>
    <definedName name="QB_COLUMN_644347" localSheetId="0" hidden="1">#REF!</definedName>
    <definedName name="QB_COLUMN_644347" localSheetId="1" hidden="1">#REF!</definedName>
    <definedName name="QB_COLUMN_64435" localSheetId="0" hidden="1">#REF!</definedName>
    <definedName name="QB_COLUMN_64435" localSheetId="1" hidden="1">#REF!</definedName>
    <definedName name="QB_COLUMN_644350" localSheetId="0" hidden="1">#REF!</definedName>
    <definedName name="QB_COLUMN_644350" localSheetId="1" hidden="1">#REF!</definedName>
    <definedName name="QB_COLUMN_64436" localSheetId="0" hidden="1">#REF!</definedName>
    <definedName name="QB_COLUMN_64436" localSheetId="1" hidden="1">#REF!</definedName>
    <definedName name="QB_COLUMN_64437" localSheetId="0" hidden="1">#REF!</definedName>
    <definedName name="QB_COLUMN_64437" localSheetId="1" hidden="1">#REF!</definedName>
    <definedName name="QB_COLUMN_64438" localSheetId="0" hidden="1">#REF!</definedName>
    <definedName name="QB_COLUMN_64438" localSheetId="1" hidden="1">#REF!</definedName>
    <definedName name="QB_COLUMN_64439" localSheetId="0" hidden="1">#REF!</definedName>
    <definedName name="QB_COLUMN_64439" localSheetId="1" hidden="1">#REF!</definedName>
    <definedName name="QB_COLUMN_72101" localSheetId="0" hidden="1">'10 Mos Actual'!$K$4</definedName>
    <definedName name="QB_COLUMN_72101" localSheetId="1" hidden="1">'11 Mos Actual'!$K$4</definedName>
    <definedName name="QB_COLUMN_76211" localSheetId="0" hidden="1">#REF!</definedName>
    <definedName name="QB_COLUMN_76211" localSheetId="1" hidden="1">#REF!</definedName>
    <definedName name="QB_COLUMN_762110" localSheetId="0" hidden="1">#REF!</definedName>
    <definedName name="QB_COLUMN_762110" localSheetId="1" hidden="1">#REF!</definedName>
    <definedName name="QB_COLUMN_762112" localSheetId="0" hidden="1">#REF!</definedName>
    <definedName name="QB_COLUMN_762112" localSheetId="1" hidden="1">#REF!</definedName>
    <definedName name="QB_COLUMN_762113" localSheetId="0" hidden="1">#REF!</definedName>
    <definedName name="QB_COLUMN_762113" localSheetId="1" hidden="1">#REF!</definedName>
    <definedName name="QB_COLUMN_762115" localSheetId="0" hidden="1">#REF!</definedName>
    <definedName name="QB_COLUMN_762115" localSheetId="1" hidden="1">#REF!</definedName>
    <definedName name="QB_COLUMN_762117" localSheetId="0" hidden="1">#REF!</definedName>
    <definedName name="QB_COLUMN_762117" localSheetId="1" hidden="1">#REF!</definedName>
    <definedName name="QB_COLUMN_762118" localSheetId="0" hidden="1">#REF!</definedName>
    <definedName name="QB_COLUMN_762118" localSheetId="1" hidden="1">#REF!</definedName>
    <definedName name="QB_COLUMN_76212" localSheetId="0" hidden="1">#REF!</definedName>
    <definedName name="QB_COLUMN_76212" localSheetId="1" hidden="1">#REF!</definedName>
    <definedName name="QB_COLUMN_762121" localSheetId="0" hidden="1">#REF!</definedName>
    <definedName name="QB_COLUMN_762121" localSheetId="1" hidden="1">#REF!</definedName>
    <definedName name="QB_COLUMN_762122" localSheetId="0" hidden="1">#REF!</definedName>
    <definedName name="QB_COLUMN_762122" localSheetId="1" hidden="1">#REF!</definedName>
    <definedName name="QB_COLUMN_762123" localSheetId="0" hidden="1">#REF!</definedName>
    <definedName name="QB_COLUMN_762123" localSheetId="1" hidden="1">#REF!</definedName>
    <definedName name="QB_COLUMN_762125" localSheetId="0" hidden="1">#REF!</definedName>
    <definedName name="QB_COLUMN_762125" localSheetId="1" hidden="1">#REF!</definedName>
    <definedName name="QB_COLUMN_762126" localSheetId="0" hidden="1">#REF!</definedName>
    <definedName name="QB_COLUMN_762126" localSheetId="1" hidden="1">#REF!</definedName>
    <definedName name="QB_COLUMN_762127" localSheetId="0" hidden="1">#REF!</definedName>
    <definedName name="QB_COLUMN_762127" localSheetId="1" hidden="1">#REF!</definedName>
    <definedName name="QB_COLUMN_762128" localSheetId="0" hidden="1">#REF!</definedName>
    <definedName name="QB_COLUMN_762128" localSheetId="1" hidden="1">#REF!</definedName>
    <definedName name="QB_COLUMN_762129" localSheetId="0" hidden="1">#REF!</definedName>
    <definedName name="QB_COLUMN_762129" localSheetId="1" hidden="1">#REF!</definedName>
    <definedName name="QB_COLUMN_76213" localSheetId="0" hidden="1">#REF!</definedName>
    <definedName name="QB_COLUMN_76213" localSheetId="1" hidden="1">#REF!</definedName>
    <definedName name="QB_COLUMN_762130" localSheetId="0" hidden="1">#REF!</definedName>
    <definedName name="QB_COLUMN_762130" localSheetId="1" hidden="1">#REF!</definedName>
    <definedName name="QB_COLUMN_762131" localSheetId="0" hidden="1">#REF!</definedName>
    <definedName name="QB_COLUMN_762131" localSheetId="1" hidden="1">#REF!</definedName>
    <definedName name="QB_COLUMN_762133" localSheetId="0" hidden="1">#REF!</definedName>
    <definedName name="QB_COLUMN_762133" localSheetId="1" hidden="1">#REF!</definedName>
    <definedName name="QB_COLUMN_762134" localSheetId="0" hidden="1">#REF!</definedName>
    <definedName name="QB_COLUMN_762134" localSheetId="1" hidden="1">#REF!</definedName>
    <definedName name="QB_COLUMN_762135" localSheetId="0" hidden="1">#REF!</definedName>
    <definedName name="QB_COLUMN_762135" localSheetId="1" hidden="1">#REF!</definedName>
    <definedName name="QB_COLUMN_762136" localSheetId="0" hidden="1">#REF!</definedName>
    <definedName name="QB_COLUMN_762136" localSheetId="1" hidden="1">#REF!</definedName>
    <definedName name="QB_COLUMN_762137" localSheetId="0" hidden="1">#REF!</definedName>
    <definedName name="QB_COLUMN_762137" localSheetId="1" hidden="1">#REF!</definedName>
    <definedName name="QB_COLUMN_76214" localSheetId="0" hidden="1">#REF!</definedName>
    <definedName name="QB_COLUMN_76214" localSheetId="1" hidden="1">#REF!</definedName>
    <definedName name="QB_COLUMN_762145" localSheetId="0" hidden="1">#REF!</definedName>
    <definedName name="QB_COLUMN_762145" localSheetId="1" hidden="1">#REF!</definedName>
    <definedName name="QB_COLUMN_762146" localSheetId="0" hidden="1">#REF!</definedName>
    <definedName name="QB_COLUMN_762146" localSheetId="1" hidden="1">#REF!</definedName>
    <definedName name="QB_COLUMN_76215" localSheetId="0" hidden="1">#REF!</definedName>
    <definedName name="QB_COLUMN_76215" localSheetId="1" hidden="1">#REF!</definedName>
    <definedName name="QB_COLUMN_762150" localSheetId="0" hidden="1">#REF!</definedName>
    <definedName name="QB_COLUMN_762150" localSheetId="1" hidden="1">#REF!</definedName>
    <definedName name="QB_COLUMN_76216" localSheetId="0" hidden="1">#REF!</definedName>
    <definedName name="QB_COLUMN_76216" localSheetId="1" hidden="1">#REF!</definedName>
    <definedName name="QB_COLUMN_76217" localSheetId="0" hidden="1">#REF!</definedName>
    <definedName name="QB_COLUMN_76217" localSheetId="1" hidden="1">#REF!</definedName>
    <definedName name="QB_COLUMN_76218" localSheetId="0" hidden="1">#REF!</definedName>
    <definedName name="QB_COLUMN_76218" localSheetId="1" hidden="1">#REF!</definedName>
    <definedName name="QB_COLUMN_76219" localSheetId="0" hidden="1">#REF!</definedName>
    <definedName name="QB_COLUMN_76219" localSheetId="1" hidden="1">#REF!</definedName>
    <definedName name="QB_COLUMN_76310" localSheetId="0" hidden="1">#REF!</definedName>
    <definedName name="QB_COLUMN_76310" localSheetId="1" hidden="1">#REF!</definedName>
    <definedName name="QB_COLUMN_763112" localSheetId="0" hidden="1">#REF!</definedName>
    <definedName name="QB_COLUMN_763112" localSheetId="1" hidden="1">#REF!</definedName>
    <definedName name="QB_COLUMN_763147" localSheetId="0" hidden="1">#REF!</definedName>
    <definedName name="QB_COLUMN_763147" localSheetId="1" hidden="1">#REF!</definedName>
    <definedName name="QB_COLUMN_82101" localSheetId="0" hidden="1">'10 Mos Actual'!$L$4</definedName>
    <definedName name="QB_COLUMN_82101" localSheetId="1" hidden="1">'11 Mos Actual'!$L$4</definedName>
    <definedName name="QB_COLUMN_92101" localSheetId="0" hidden="1">'10 Mos Actual'!$M$4</definedName>
    <definedName name="QB_COLUMN_92101" localSheetId="1" hidden="1">'11 Mos Actual'!$M$4</definedName>
    <definedName name="QB_DATA_0" localSheetId="0" hidden="1">'10 Mos Actual'!$6:$6,'10 Mos Actual'!$7:$7,'10 Mos Actual'!$8:$8,'10 Mos Actual'!$9:$9,'10 Mos Actual'!$10:$10,'10 Mos Actual'!$11:$11,'10 Mos Actual'!$12:$12,'10 Mos Actual'!$13:$13,'10 Mos Actual'!$14:$14,'10 Mos Actual'!$15:$15,'10 Mos Actual'!$16:$16,'10 Mos Actual'!$17:$17,'10 Mos Actual'!$18:$18,'10 Mos Actual'!$19:$19,'10 Mos Actual'!$20:$20,'10 Mos Actual'!$21:$21</definedName>
    <definedName name="QB_DATA_0" localSheetId="1" hidden="1">'11 Mos Actual'!$6:$6,'11 Mos Actual'!$7:$7,'11 Mos Actual'!$8:$8,'11 Mos Actual'!$9:$9,'11 Mos Actual'!$10:$10,'11 Mos Actual'!$11:$11,'11 Mos Actual'!$12:$12,'11 Mos Actual'!$13:$13,'11 Mos Actual'!$14:$14,'11 Mos Actual'!$15:$15,'11 Mos Actual'!$16:$16,'11 Mos Actual'!$17:$17,'11 Mos Actual'!$18:$18,'11 Mos Actual'!$19:$19,'11 Mos Actual'!$20:$20,'11 Mos Actual'!$21:$21</definedName>
    <definedName name="QB_DATA_1" localSheetId="0" hidden="1">'10 Mos Actual'!$22:$22,'10 Mos Actual'!$23:$23,'10 Mos Actual'!$24:$24,'10 Mos Actual'!$25:$25,'10 Mos Actual'!$26:$26,'10 Mos Actual'!$27:$27,'10 Mos Actual'!$28:$28,'10 Mos Actual'!$29:$29,'10 Mos Actual'!$30:$30,'10 Mos Actual'!$31:$31,'10 Mos Actual'!$32:$32,'10 Mos Actual'!$33:$33,'10 Mos Actual'!$34:$34,'10 Mos Actual'!$35:$35,'10 Mos Actual'!$36:$36,'10 Mos Actual'!$39:$39</definedName>
    <definedName name="QB_DATA_1" localSheetId="1" hidden="1">'11 Mos Actual'!$22:$22,'11 Mos Actual'!$23:$23,'11 Mos Actual'!$24:$24,'11 Mos Actual'!$25:$25,'11 Mos Actual'!$26:$26,'11 Mos Actual'!$27:$27,'11 Mos Actual'!$28:$28,'11 Mos Actual'!$29:$29,'11 Mos Actual'!$30:$30,'11 Mos Actual'!$31:$31,'11 Mos Actual'!$32:$32,'11 Mos Actual'!$33:$33,'11 Mos Actual'!$34:$34,'11 Mos Actual'!$35:$35,'11 Mos Actual'!$36:$36,'11 Mos Actual'!$39:$39</definedName>
    <definedName name="QB_DATA_2" localSheetId="0" hidden="1">'10 Mos Actual'!$40:$40,'10 Mos Actual'!$41:$41,'10 Mos Actual'!$45:$45,#REF!,'10 Mos Actual'!$46:$46,'10 Mos Actual'!$47:$47,'10 Mos Actual'!$48:$48,'10 Mos Actual'!$49:$49,'10 Mos Actual'!$50:$50,'10 Mos Actual'!$51:$51,'10 Mos Actual'!$52:$52,'10 Mos Actual'!$53:$53,'10 Mos Actual'!$54:$54,'10 Mos Actual'!$55:$55,'10 Mos Actual'!$56:$56,'10 Mos Actual'!$57:$57</definedName>
    <definedName name="QB_DATA_2" localSheetId="1" hidden="1">'11 Mos Actual'!$40:$40,'11 Mos Actual'!$41:$41,'11 Mos Actual'!$45:$45,#REF!,'11 Mos Actual'!$46:$46,'11 Mos Actual'!$47:$47,'11 Mos Actual'!$48:$48,'11 Mos Actual'!$49:$49,'11 Mos Actual'!$50:$50,'11 Mos Actual'!$51:$51,'11 Mos Actual'!$52:$52,'11 Mos Actual'!$53:$53,'11 Mos Actual'!$54:$54,'11 Mos Actual'!$55:$55,'11 Mos Actual'!$56:$56,'11 Mos Actual'!$57:$57</definedName>
    <definedName name="QB_DATA_3" localSheetId="0" hidden="1">'10 Mos Actual'!$58:$58,'10 Mos Actual'!$59:$59,'10 Mos Actual'!$60:$60,'10 Mos Actual'!$61:$61,'10 Mos Actual'!$62:$62,'10 Mos Actual'!$63:$63,'10 Mos Actual'!$64:$64,'10 Mos Actual'!$65:$65,'10 Mos Actual'!$66:$66,'10 Mos Actual'!$67:$67,'10 Mos Actual'!$68:$68,'10 Mos Actual'!$69:$69,'10 Mos Actual'!$70:$70,'10 Mos Actual'!$71:$71,'10 Mos Actual'!$72:$72,'10 Mos Actual'!$73:$73</definedName>
    <definedName name="QB_DATA_3" localSheetId="1" hidden="1">'11 Mos Actual'!$58:$58,'11 Mos Actual'!$59:$59,'11 Mos Actual'!$60:$60,'11 Mos Actual'!$61:$61,'11 Mos Actual'!$62:$62,'11 Mos Actual'!$63:$63,'11 Mos Actual'!$64:$64,'11 Mos Actual'!$65:$65,'11 Mos Actual'!$66:$66,'11 Mos Actual'!$67:$67,'11 Mos Actual'!$68:$68,'11 Mos Actual'!$69:$69,'11 Mos Actual'!$70:$70,'11 Mos Actual'!$71:$71,'11 Mos Actual'!$72:$72,'11 Mos Actual'!$73:$73</definedName>
    <definedName name="QB_DATA_4" localSheetId="0" hidden="1">'10 Mos Actual'!$74:$74,'10 Mos Actual'!$76:$76,'10 Mos Actual'!$77:$77,'10 Mos Actual'!$78:$78,'10 Mos Actual'!$79:$79,'10 Mos Actual'!$80:$80,'10 Mos Actual'!$81:$81,'10 Mos Actual'!$82:$82,'10 Mos Actual'!$83:$83,'10 Mos Actual'!$84:$84,'10 Mos Actual'!$85:$85,'10 Mos Actual'!$86:$86,'10 Mos Actual'!$87:$87,'10 Mos Actual'!$88:$88,'10 Mos Actual'!$89:$89,'10 Mos Actual'!$90:$90</definedName>
    <definedName name="QB_DATA_4" localSheetId="1" hidden="1">'11 Mos Actual'!$74:$74,'11 Mos Actual'!$76:$76,'11 Mos Actual'!$77:$77,'11 Mos Actual'!$78:$78,'11 Mos Actual'!$79:$79,'11 Mos Actual'!$80:$80,'11 Mos Actual'!$81:$81,'11 Mos Actual'!$82:$82,'11 Mos Actual'!$83:$83,'11 Mos Actual'!$84:$84,'11 Mos Actual'!$85:$85,'11 Mos Actual'!$86:$86,'11 Mos Actual'!$87:$87,'11 Mos Actual'!$88:$88,'11 Mos Actual'!$89:$89,'11 Mos Actual'!$90:$90</definedName>
    <definedName name="QB_DATA_5" localSheetId="0" hidden="1">'10 Mos Actual'!$91:$91,'10 Mos Actual'!$92:$92,'10 Mos Actual'!$93:$93,'10 Mos Actual'!$94:$94,'10 Mos Actual'!$95:$95,'10 Mos Actual'!$96:$96,'10 Mos Actual'!$97:$97,'10 Mos Actual'!$98:$98,'10 Mos Actual'!$99:$99,'10 Mos Actual'!$100:$100,'10 Mos Actual'!$101:$101,'10 Mos Actual'!$102:$102,'10 Mos Actual'!$103:$103,'10 Mos Actual'!$104:$104,'10 Mos Actual'!$105:$105,'10 Mos Actual'!$106:$106</definedName>
    <definedName name="QB_DATA_5" localSheetId="1" hidden="1">'11 Mos Actual'!$91:$91,'11 Mos Actual'!$92:$92,'11 Mos Actual'!$93:$93,'11 Mos Actual'!$94:$94,'11 Mos Actual'!$95:$95,'11 Mos Actual'!$96:$96,'11 Mos Actual'!$97:$97,'11 Mos Actual'!$98:$98,'11 Mos Actual'!$99:$99,'11 Mos Actual'!$100:$100,'11 Mos Actual'!$101:$101,'11 Mos Actual'!$102:$102,'11 Mos Actual'!$103:$103,'11 Mos Actual'!$104:$104,'11 Mos Actual'!$105:$105,'11 Mos Actual'!$106:$106</definedName>
    <definedName name="QB_DATA_6" localSheetId="0" hidden="1">'10 Mos Actual'!$107:$107,'10 Mos Actual'!$108:$108,'10 Mos Actual'!$109:$109,'10 Mos Actual'!$110:$110,'10 Mos Actual'!$111:$111,'10 Mos Actual'!$112:$112</definedName>
    <definedName name="QB_DATA_6" localSheetId="1" hidden="1">'11 Mos Actual'!$107:$107,'11 Mos Actual'!$108:$108,'11 Mos Actual'!$109:$109,'11 Mos Actual'!$110:$110,'11 Mos Actual'!$111:$111,'11 Mos Actual'!$112:$112</definedName>
    <definedName name="QB_FORMULA_0" localSheetId="0" hidden="1">#REF!,#REF!,'10 Mos Actual'!$U$6,'10 Mos Actual'!$AA$6,#REF!,#REF!,'10 Mos Actual'!$AM$6,'10 Mos Actual'!$AN$6,'10 Mos Actual'!$AR$6,'10 Mos Actual'!$AS$6,#REF!,#REF!,'10 Mos Actual'!$U$7,'10 Mos Actual'!$AA$7,#REF!,#REF!</definedName>
    <definedName name="QB_FORMULA_0" localSheetId="1" hidden="1">#REF!,#REF!,'11 Mos Actual'!$U$6,'11 Mos Actual'!$AA$6,#REF!,#REF!,'11 Mos Actual'!$AM$6,'11 Mos Actual'!$AN$6,'11 Mos Actual'!$AR$6,#REF!,#REF!,#REF!,'11 Mos Actual'!$U$7,'11 Mos Actual'!$AA$7,#REF!,#REF!</definedName>
    <definedName name="QB_FORMULA_1" localSheetId="0" hidden="1">'10 Mos Actual'!$AM$7,'10 Mos Actual'!$AN$7,'10 Mos Actual'!$AR$7,'10 Mos Actual'!$AS$7,#REF!,#REF!,'10 Mos Actual'!$U$8,'10 Mos Actual'!$AA$8,#REF!,#REF!,'10 Mos Actual'!$AM$8,'10 Mos Actual'!$AN$8,'10 Mos Actual'!$AR$8,'10 Mos Actual'!$AS$8,#REF!,#REF!</definedName>
    <definedName name="QB_FORMULA_1" localSheetId="1" hidden="1">'11 Mos Actual'!$AM$7,'11 Mos Actual'!$AN$7,'11 Mos Actual'!$AR$7,#REF!,#REF!,#REF!,'11 Mos Actual'!$U$8,'11 Mos Actual'!$AA$8,#REF!,#REF!,'11 Mos Actual'!$AM$8,'11 Mos Actual'!$AN$8,'11 Mos Actual'!$AR$8,#REF!,#REF!,#REF!</definedName>
    <definedName name="QB_FORMULA_10" localSheetId="0" hidden="1">'10 Mos Actual'!$AS$19,'10 Mos Actual'!$U$20,'10 Mos Actual'!$AA$20,#REF!,#REF!,#REF!,#REF!,'10 Mos Actual'!$AM$20,'10 Mos Actual'!$AN$20,'10 Mos Actual'!$AR$20,'10 Mos Actual'!$AS$20,#REF!,#REF!,'10 Mos Actual'!$U$21,'10 Mos Actual'!$AA$21,#REF!</definedName>
    <definedName name="QB_FORMULA_10" localSheetId="1" hidden="1">#REF!,'11 Mos Actual'!$U$20,'11 Mos Actual'!$AA$20,#REF!,#REF!,#REF!,#REF!,'11 Mos Actual'!$AM$20,'11 Mos Actual'!$AN$20,'11 Mos Actual'!$AR$20,#REF!,#REF!,#REF!,'11 Mos Actual'!$U$21,'11 Mos Actual'!$AA$21,#REF!</definedName>
    <definedName name="QB_FORMULA_100" localSheetId="0" hidden="1">#REF!,'10 Mos Actual'!$AM$109,'10 Mos Actual'!$AN$109,'10 Mos Actual'!$AR$109,'10 Mos Actual'!$AS$109,'10 Mos Actual'!$U$110,'10 Mos Actual'!$AA$110,#REF!,#REF!,#REF!,#REF!,'10 Mos Actual'!$AM$110,'10 Mos Actual'!$AN$110,'10 Mos Actual'!$AR$110,'10 Mos Actual'!$AS$110,#REF!</definedName>
    <definedName name="QB_FORMULA_100" localSheetId="1" hidden="1">#REF!,'11 Mos Actual'!$AM$109,'11 Mos Actual'!$AN$109,'11 Mos Actual'!$AR$109,#REF!,'11 Mos Actual'!$U$110,'11 Mos Actual'!$AA$110,#REF!,#REF!,#REF!,#REF!,'11 Mos Actual'!$AM$110,'11 Mos Actual'!$AN$110,'11 Mos Actual'!$AR$110,#REF!,#REF!</definedName>
    <definedName name="QB_FORMULA_101" localSheetId="0" hidden="1">#REF!,#REF!,#REF!,#REF!,#REF!,'10 Mos Actual'!$U$111,#REF!,#REF!,#REF!,'10 Mos Actual'!$AA$111,#REF!,#REF!,'10 Mos Actual'!$AM$111,'10 Mos Actual'!$AN$111,'10 Mos Actual'!$AR$111,'10 Mos Actual'!$AS$111</definedName>
    <definedName name="QB_FORMULA_101" localSheetId="1" hidden="1">#REF!,#REF!,#REF!,#REF!,#REF!,'11 Mos Actual'!$U$111,#REF!,#REF!,#REF!,'11 Mos Actual'!$AA$111,#REF!,#REF!,'11 Mos Actual'!$AM$111,'11 Mos Actual'!$AN$111,'11 Mos Actual'!$AR$111,#REF!</definedName>
    <definedName name="QB_FORMULA_102" localSheetId="0" hidden="1">#REF!,#REF!,'10 Mos Actual'!$U$112,'10 Mos Actual'!$AA$112,#REF!,#REF!,#REF!,#REF!,'10 Mos Actual'!$AM$112,'10 Mos Actual'!$AN$112,'10 Mos Actual'!$AR$112,'10 Mos Actual'!$AS$112,'10 Mos Actual'!$E$113,#REF!,#REF!,#REF!</definedName>
    <definedName name="QB_FORMULA_102" localSheetId="1" hidden="1">#REF!,#REF!,'11 Mos Actual'!$U$112,'11 Mos Actual'!$AA$112,#REF!,#REF!,#REF!,#REF!,'11 Mos Actual'!$AM$112,'11 Mos Actual'!$AN$112,'11 Mos Actual'!$AR$112,#REF!,'11 Mos Actual'!$E$113,#REF!,#REF!,#REF!</definedName>
    <definedName name="QB_FORMULA_103" localSheetId="0" hidden="1">'10 Mos Actual'!$F$113,#REF!,#REF!,#REF!,'10 Mos Actual'!$G$113,#REF!,#REF!,#REF!,'10 Mos Actual'!$H$113,'10 Mos Actual'!$I$113,#REF!,#REF!,#REF!,'10 Mos Actual'!$J$113,#REF!,#REF!</definedName>
    <definedName name="QB_FORMULA_103" localSheetId="1" hidden="1">'11 Mos Actual'!$F$113,#REF!,#REF!,#REF!,'11 Mos Actual'!$G$113,#REF!,#REF!,#REF!,'11 Mos Actual'!$H$113,'11 Mos Actual'!$I$113,#REF!,#REF!,#REF!,'11 Mos Actual'!$J$113,#REF!,#REF!</definedName>
    <definedName name="QB_FORMULA_104" localSheetId="0" hidden="1">#REF!,'10 Mos Actual'!$K$113,#REF!,#REF!,#REF!,'10 Mos Actual'!$L$113,#REF!,#REF!,#REF!,'10 Mos Actual'!$M$113,'10 Mos Actual'!$N$113,#REF!,#REF!,#REF!,'10 Mos Actual'!$O$113,#REF!</definedName>
    <definedName name="QB_FORMULA_104" localSheetId="1" hidden="1">#REF!,'11 Mos Actual'!$K$113,#REF!,#REF!,#REF!,'11 Mos Actual'!$L$113,#REF!,#REF!,#REF!,'11 Mos Actual'!$M$113,'11 Mos Actual'!$N$113,#REF!,#REF!,#REF!,'11 Mos Actual'!$O$113,#REF!</definedName>
    <definedName name="QB_FORMULA_105" localSheetId="0" hidden="1">#REF!,#REF!,'10 Mos Actual'!$P$113,'10 Mos Actual'!$Q$113,'10 Mos Actual'!$R$113,'10 Mos Actual'!$S$113,'10 Mos Actual'!$T$113,#REF!,#REF!,#REF!,'10 Mos Actual'!$U$113,#REF!,#REF!,#REF!,'10 Mos Actual'!$V$113,#REF!</definedName>
    <definedName name="QB_FORMULA_105" localSheetId="1" hidden="1">#REF!,#REF!,'11 Mos Actual'!$P$113,'11 Mos Actual'!$Q$113,'11 Mos Actual'!$R$113,'11 Mos Actual'!$S$113,'11 Mos Actual'!$T$113,#REF!,#REF!,#REF!,'11 Mos Actual'!$U$113,#REF!,#REF!,#REF!,'11 Mos Actual'!$V$113,#REF!</definedName>
    <definedName name="QB_FORMULA_106" localSheetId="0" hidden="1">#REF!,#REF!,'10 Mos Actual'!$W$113,#REF!,#REF!,#REF!,'10 Mos Actual'!$X$113,#REF!,#REF!,#REF!,'10 Mos Actual'!$Y$113,#REF!,#REF!,#REF!,'10 Mos Actual'!$Z$113,#REF!</definedName>
    <definedName name="QB_FORMULA_106" localSheetId="1" hidden="1">#REF!,#REF!,'11 Mos Actual'!$W$113,#REF!,#REF!,#REF!,'11 Mos Actual'!$X$113,#REF!,#REF!,#REF!,'11 Mos Actual'!$Y$113,#REF!,#REF!,#REF!,'11 Mos Actual'!$Z$113,#REF!</definedName>
    <definedName name="QB_FORMULA_107" localSheetId="0" hidden="1">#REF!,#REF!,'10 Mos Actual'!$AA$113,#REF!,#REF!,#REF!,'10 Mos Actual'!$AB$113,'10 Mos Actual'!$AC$113,'10 Mos Actual'!$AD$113,#REF!,#REF!,#REF!,'10 Mos Actual'!$AE$113,#REF!,#REF!,#REF!</definedName>
    <definedName name="QB_FORMULA_107" localSheetId="1" hidden="1">#REF!,#REF!,'11 Mos Actual'!$AA$113,#REF!,#REF!,#REF!,'11 Mos Actual'!$AB$113,'11 Mos Actual'!$AC$113,'11 Mos Actual'!$AD$113,#REF!,#REF!,#REF!,'11 Mos Actual'!$AE$113,#REF!,#REF!,#REF!</definedName>
    <definedName name="QB_FORMULA_108" localSheetId="0" hidden="1">'10 Mos Actual'!$AF$113,'10 Mos Actual'!$AG$113,#REF!,#REF!,#REF!,'10 Mos Actual'!$AH$113,#REF!,#REF!,#REF!,'10 Mos Actual'!$AI$113,#REF!,#REF!,#REF!,'10 Mos Actual'!$AJ$113,#REF!,#REF!</definedName>
    <definedName name="QB_FORMULA_108" localSheetId="1" hidden="1">'11 Mos Actual'!$AF$113,'11 Mos Actual'!$AG$113,#REF!,#REF!,#REF!,'11 Mos Actual'!$AH$113,#REF!,#REF!,#REF!,'11 Mos Actual'!$AI$113,#REF!,#REF!,#REF!,'11 Mos Actual'!$AJ$113,#REF!,#REF!</definedName>
    <definedName name="QB_FORMULA_109" localSheetId="0" hidden="1">#REF!,'10 Mos Actual'!$AK$113,'10 Mos Actual'!$AL$113,#REF!,#REF!,#REF!,#REF!,#REF!,#REF!,#REF!,'10 Mos Actual'!$AM$113,'10 Mos Actual'!$AN$113,'10 Mos Actual'!$AR$113,'10 Mos Actual'!$AS$113,'10 Mos Actual'!$E$114,#REF!</definedName>
    <definedName name="QB_FORMULA_109" localSheetId="1" hidden="1">#REF!,'11 Mos Actual'!$AK$113,'11 Mos Actual'!$AL$113,#REF!,#REF!,#REF!,#REF!,#REF!,#REF!,#REF!,'11 Mos Actual'!$AM$113,'11 Mos Actual'!$AN$113,'11 Mos Actual'!$AR$113,#REF!,'11 Mos Actual'!$E$114,#REF!</definedName>
    <definedName name="QB_FORMULA_11" localSheetId="0" hidden="1">#REF!,'10 Mos Actual'!$AM$21,'10 Mos Actual'!$AN$21,'10 Mos Actual'!$AR$21,'10 Mos Actual'!$AS$21,#REF!,#REF!,'10 Mos Actual'!$U$22,'10 Mos Actual'!$AA$22,#REF!,#REF!,#REF!,#REF!,'10 Mos Actual'!$AM$22,'10 Mos Actual'!$AN$22,'10 Mos Actual'!$AR$22</definedName>
    <definedName name="QB_FORMULA_11" localSheetId="1" hidden="1">#REF!,'11 Mos Actual'!$AM$21,'11 Mos Actual'!$AN$21,'11 Mos Actual'!$AR$21,#REF!,#REF!,#REF!,'11 Mos Actual'!$U$22,'11 Mos Actual'!$AA$22,#REF!,#REF!,#REF!,#REF!,'11 Mos Actual'!$AM$22,'11 Mos Actual'!$AN$22,'11 Mos Actual'!$AR$22</definedName>
    <definedName name="QB_FORMULA_110" localSheetId="0" hidden="1">#REF!,#REF!,'10 Mos Actual'!$F$114,#REF!,#REF!,#REF!,'10 Mos Actual'!$G$114,#REF!,#REF!,#REF!,'10 Mos Actual'!$H$114,'10 Mos Actual'!$I$114,#REF!,#REF!,#REF!,'10 Mos Actual'!$J$114</definedName>
    <definedName name="QB_FORMULA_110" localSheetId="1" hidden="1">#REF!,#REF!,'11 Mos Actual'!$F$114,#REF!,#REF!,#REF!,'11 Mos Actual'!$G$114,#REF!,#REF!,#REF!,'11 Mos Actual'!$H$114,'11 Mos Actual'!$I$114,#REF!,#REF!,#REF!,'11 Mos Actual'!$J$114</definedName>
    <definedName name="QB_FORMULA_111" localSheetId="0" hidden="1">#REF!,#REF!,#REF!,'10 Mos Actual'!$K$114,#REF!,#REF!,#REF!,'10 Mos Actual'!$L$114,#REF!,#REF!,#REF!,'10 Mos Actual'!$M$114,'10 Mos Actual'!$N$114,#REF!,#REF!,#REF!</definedName>
    <definedName name="QB_FORMULA_111" localSheetId="1" hidden="1">#REF!,#REF!,#REF!,'11 Mos Actual'!$K$114,#REF!,#REF!,#REF!,'11 Mos Actual'!$L$114,#REF!,#REF!,#REF!,'11 Mos Actual'!$M$114,'11 Mos Actual'!$N$114,#REF!,#REF!,#REF!</definedName>
    <definedName name="QB_FORMULA_112" localSheetId="0" hidden="1">'10 Mos Actual'!$O$114,#REF!,#REF!,#REF!,'10 Mos Actual'!$P$114,'10 Mos Actual'!$Q$114,#REF!,#REF!,#REF!,'10 Mos Actual'!$R$114,'10 Mos Actual'!$S$114,'10 Mos Actual'!$T$114,#REF!,#REF!,#REF!,'10 Mos Actual'!$U$114</definedName>
    <definedName name="QB_FORMULA_112" localSheetId="1" hidden="1">'11 Mos Actual'!$O$114,#REF!,#REF!,#REF!,'11 Mos Actual'!$P$114,'11 Mos Actual'!$Q$114,#REF!,#REF!,#REF!,'11 Mos Actual'!$R$114,'11 Mos Actual'!$S$114,'11 Mos Actual'!$T$114,#REF!,#REF!,#REF!,'11 Mos Actual'!$U$114</definedName>
    <definedName name="QB_FORMULA_113" localSheetId="0" hidden="1">#REF!,#REF!,#REF!,'10 Mos Actual'!$V$114,#REF!,#REF!,#REF!,'10 Mos Actual'!$W$114,#REF!,#REF!,#REF!,'10 Mos Actual'!$X$114,#REF!,#REF!,#REF!,'10 Mos Actual'!$Y$114</definedName>
    <definedName name="QB_FORMULA_113" localSheetId="1" hidden="1">#REF!,#REF!,#REF!,'11 Mos Actual'!$V$114,#REF!,#REF!,#REF!,'11 Mos Actual'!$W$114,#REF!,#REF!,#REF!,'11 Mos Actual'!$X$114,#REF!,#REF!,#REF!,'11 Mos Actual'!$Y$114</definedName>
    <definedName name="QB_FORMULA_114" localSheetId="0" hidden="1">#REF!,#REF!,#REF!,'10 Mos Actual'!$Z$114,#REF!,#REF!,#REF!,'10 Mos Actual'!$AA$114,#REF!,#REF!,#REF!,'10 Mos Actual'!$AB$114,'10 Mos Actual'!$AC$114,'10 Mos Actual'!$AD$114,#REF!,#REF!</definedName>
    <definedName name="QB_FORMULA_114" localSheetId="1" hidden="1">#REF!,#REF!,#REF!,'11 Mos Actual'!$Z$114,#REF!,#REF!,#REF!,'11 Mos Actual'!$AA$114,#REF!,#REF!,#REF!,'11 Mos Actual'!$AB$114,'11 Mos Actual'!$AC$114,'11 Mos Actual'!$AD$114,#REF!,#REF!</definedName>
    <definedName name="QB_FORMULA_115" localSheetId="0" hidden="1">#REF!,'10 Mos Actual'!$AE$114,#REF!,#REF!,#REF!,'10 Mos Actual'!$AF$114,#REF!,#REF!,#REF!,'10 Mos Actual'!$AG$114,#REF!,#REF!,#REF!,'10 Mos Actual'!$AH$114,#REF!,#REF!</definedName>
    <definedName name="QB_FORMULA_115" localSheetId="1" hidden="1">#REF!,'11 Mos Actual'!$AE$114,#REF!,#REF!,#REF!,'11 Mos Actual'!$AF$114,#REF!,#REF!,#REF!,'11 Mos Actual'!$AG$114,#REF!,#REF!,#REF!,'11 Mos Actual'!$AH$114,#REF!,#REF!</definedName>
    <definedName name="QB_FORMULA_116" localSheetId="0" hidden="1">#REF!,'10 Mos Actual'!$AI$114,#REF!,#REF!,#REF!,'10 Mos Actual'!$AJ$114,#REF!,#REF!,#REF!,'10 Mos Actual'!$AK$114,'10 Mos Actual'!$AL$114,#REF!,#REF!,#REF!,#REF!,#REF!</definedName>
    <definedName name="QB_FORMULA_116" localSheetId="1" hidden="1">#REF!,'11 Mos Actual'!$AI$114,#REF!,#REF!,#REF!,'11 Mos Actual'!$AJ$114,#REF!,#REF!,#REF!,'11 Mos Actual'!$AK$114,'11 Mos Actual'!$AL$114,#REF!,#REF!,#REF!,#REF!,#REF!</definedName>
    <definedName name="QB_FORMULA_117" localSheetId="0" hidden="1">#REF!,#REF!,'10 Mos Actual'!$AM$114,'10 Mos Actual'!$AN$114,'10 Mos Actual'!$AR$114,'10 Mos Actual'!$AS$114</definedName>
    <definedName name="QB_FORMULA_117" localSheetId="1" hidden="1">#REF!,#REF!,'11 Mos Actual'!$AM$114,'11 Mos Actual'!$AN$114,'11 Mos Actual'!$AR$114,#REF!</definedName>
    <definedName name="QB_FORMULA_12" localSheetId="0" hidden="1">'10 Mos Actual'!$AS$22,#REF!,#REF!,'10 Mos Actual'!$U$23,'10 Mos Actual'!$AA$23,#REF!,#REF!,'10 Mos Actual'!$AM$23,'10 Mos Actual'!$AN$23,'10 Mos Actual'!$AR$23,'10 Mos Actual'!$AS$23,'10 Mos Actual'!$U$24,'10 Mos Actual'!$AA$24,#REF!,#REF!,#REF!</definedName>
    <definedName name="QB_FORMULA_12" localSheetId="1" hidden="1">#REF!,#REF!,#REF!,'11 Mos Actual'!$U$23,'11 Mos Actual'!$AA$23,#REF!,#REF!,'11 Mos Actual'!$AM$23,'11 Mos Actual'!$AN$23,'11 Mos Actual'!$AR$23,#REF!,'11 Mos Actual'!$U$24,'11 Mos Actual'!$AA$24,#REF!,#REF!,#REF!</definedName>
    <definedName name="QB_FORMULA_13" localSheetId="0" hidden="1">#REF!,'10 Mos Actual'!$AM$24,'10 Mos Actual'!$AN$24,'10 Mos Actual'!$AR$24,'10 Mos Actual'!$AS$24,'10 Mos Actual'!$U$25,'10 Mos Actual'!$AA$25,#REF!,#REF!,'10 Mos Actual'!$AM$25,'10 Mos Actual'!$AN$25,'10 Mos Actual'!$AR$25,'10 Mos Actual'!$AS$25,'10 Mos Actual'!$U$26,'10 Mos Actual'!$AA$26,#REF!</definedName>
    <definedName name="QB_FORMULA_13" localSheetId="1" hidden="1">#REF!,'11 Mos Actual'!$AM$24,'11 Mos Actual'!$AN$24,'11 Mos Actual'!$AR$24,#REF!,'11 Mos Actual'!$U$25,'11 Mos Actual'!$AA$25,#REF!,#REF!,'11 Mos Actual'!$AM$25,'11 Mos Actual'!$AN$25,'11 Mos Actual'!$AR$25,#REF!,'11 Mos Actual'!$U$26,'11 Mos Actual'!$AA$26,#REF!</definedName>
    <definedName name="QB_FORMULA_14" localSheetId="0" hidden="1">#REF!,'10 Mos Actual'!$AM$26,'10 Mos Actual'!$AN$26,'10 Mos Actual'!$AR$26,'10 Mos Actual'!$AS$26,#REF!,#REF!,'10 Mos Actual'!$U$27,'10 Mos Actual'!$AA$27,#REF!,#REF!,'10 Mos Actual'!$AM$27,'10 Mos Actual'!$AN$27,'10 Mos Actual'!$AR$27,'10 Mos Actual'!$AS$27,'10 Mos Actual'!$U$28</definedName>
    <definedName name="QB_FORMULA_14" localSheetId="1" hidden="1">#REF!,'11 Mos Actual'!$AM$26,'11 Mos Actual'!$AN$26,'11 Mos Actual'!$AR$26,#REF!,#REF!,#REF!,'11 Mos Actual'!$U$27,'11 Mos Actual'!$AA$27,#REF!,#REF!,'11 Mos Actual'!$AM$27,'11 Mos Actual'!$AN$27,'11 Mos Actual'!$AR$27,#REF!,'11 Mos Actual'!$U$28</definedName>
    <definedName name="QB_FORMULA_15" localSheetId="0" hidden="1">'10 Mos Actual'!$AA$28,#REF!,#REF!,#REF!,#REF!,'10 Mos Actual'!$AM$28,'10 Mos Actual'!$AN$28,'10 Mos Actual'!$AR$28,'10 Mos Actual'!$AS$28,'10 Mos Actual'!$U$29,'10 Mos Actual'!$AA$29,#REF!,#REF!,'10 Mos Actual'!$AM$29,'10 Mos Actual'!$AN$29,'10 Mos Actual'!$AR$29</definedName>
    <definedName name="QB_FORMULA_15" localSheetId="1" hidden="1">'11 Mos Actual'!$AA$28,#REF!,#REF!,#REF!,#REF!,'11 Mos Actual'!$AM$28,'11 Mos Actual'!$AN$28,'11 Mos Actual'!$AR$28,#REF!,'11 Mos Actual'!$U$29,'11 Mos Actual'!$AA$29,#REF!,#REF!,'11 Mos Actual'!$AM$29,'11 Mos Actual'!$AN$29,'11 Mos Actual'!$AR$29</definedName>
    <definedName name="QB_FORMULA_16" localSheetId="0" hidden="1">'10 Mos Actual'!$AS$29,#REF!,#REF!,'10 Mos Actual'!$U$30,'10 Mos Actual'!$AA$30,#REF!,#REF!,#REF!,#REF!,'10 Mos Actual'!$AM$30,'10 Mos Actual'!$AN$30,'10 Mos Actual'!$AR$30,'10 Mos Actual'!$AS$30,#REF!,#REF!,'10 Mos Actual'!$U$31</definedName>
    <definedName name="QB_FORMULA_16" localSheetId="1" hidden="1">#REF!,#REF!,#REF!,'11 Mos Actual'!$U$30,'11 Mos Actual'!$AA$30,#REF!,#REF!,#REF!,#REF!,'11 Mos Actual'!$AM$30,'11 Mos Actual'!$AN$30,'11 Mos Actual'!$AR$30,#REF!,#REF!,#REF!,'11 Mos Actual'!$U$31</definedName>
    <definedName name="QB_FORMULA_17" localSheetId="0" hidden="1">'10 Mos Actual'!$AA$31,#REF!,#REF!,'10 Mos Actual'!$AM$31,'10 Mos Actual'!$AN$31,'10 Mos Actual'!$AR$31,'10 Mos Actual'!$AS$31,'10 Mos Actual'!$U$32,'10 Mos Actual'!$AA$32,#REF!,#REF!,'10 Mos Actual'!$AM$32,'10 Mos Actual'!$AN$32,'10 Mos Actual'!$AR$32,'10 Mos Actual'!$AS$32,#REF!</definedName>
    <definedName name="QB_FORMULA_17" localSheetId="1" hidden="1">'11 Mos Actual'!$AA$31,#REF!,#REF!,'11 Mos Actual'!$AM$31,'11 Mos Actual'!$AN$31,'11 Mos Actual'!$AR$31,#REF!,'11 Mos Actual'!$U$32,'11 Mos Actual'!$AA$32,#REF!,#REF!,'11 Mos Actual'!$AM$32,'11 Mos Actual'!$AN$32,'11 Mos Actual'!$AR$32,#REF!,#REF!</definedName>
    <definedName name="QB_FORMULA_18" localSheetId="0" hidden="1">#REF!,'10 Mos Actual'!$U$33,'10 Mos Actual'!$AA$33,#REF!,#REF!,'10 Mos Actual'!$AM$33,'10 Mos Actual'!$AN$33,'10 Mos Actual'!$AR$33,'10 Mos Actual'!$AS$33,#REF!,#REF!,#REF!,#REF!,#REF!,#REF!,'10 Mos Actual'!$U$34</definedName>
    <definedName name="QB_FORMULA_18" localSheetId="1" hidden="1">#REF!,'11 Mos Actual'!$U$33,'11 Mos Actual'!$AA$33,#REF!,#REF!,'11 Mos Actual'!$AM$33,'11 Mos Actual'!$AN$33,'11 Mos Actual'!$AR$33,#REF!,#REF!,#REF!,#REF!,#REF!,#REF!,#REF!,'11 Mos Actual'!$U$34</definedName>
    <definedName name="QB_FORMULA_19" localSheetId="0" hidden="1">#REF!,#REF!,#REF!,'10 Mos Actual'!$AA$34,#REF!,#REF!,#REF!,#REF!,#REF!,#REF!,'10 Mos Actual'!$AM$34,'10 Mos Actual'!$AN$34,'10 Mos Actual'!$AR$34,'10 Mos Actual'!$AS$34,'10 Mos Actual'!$U$35,'10 Mos Actual'!$AA$35</definedName>
    <definedName name="QB_FORMULA_19" localSheetId="1" hidden="1">#REF!,#REF!,#REF!,'11 Mos Actual'!$AA$34,#REF!,#REF!,#REF!,#REF!,#REF!,#REF!,'11 Mos Actual'!$AM$34,'11 Mos Actual'!$AN$34,'11 Mos Actual'!$AR$34,#REF!,'11 Mos Actual'!$U$35,'11 Mos Actual'!$AA$35</definedName>
    <definedName name="QB_FORMULA_2" localSheetId="0" hidden="1">'10 Mos Actual'!$U$9,'10 Mos Actual'!$AA$9,#REF!,#REF!,'10 Mos Actual'!$AM$9,'10 Mos Actual'!$AN$9,'10 Mos Actual'!$AR$9,'10 Mos Actual'!$AS$9,#REF!,#REF!,'10 Mos Actual'!$U$10,'10 Mos Actual'!$AA$10,#REF!,#REF!,'10 Mos Actual'!$AM$10,'10 Mos Actual'!$AN$10</definedName>
    <definedName name="QB_FORMULA_2" localSheetId="1" hidden="1">'11 Mos Actual'!$U$9,'11 Mos Actual'!$AA$9,#REF!,#REF!,'11 Mos Actual'!$AM$9,'11 Mos Actual'!$AN$9,'11 Mos Actual'!$AR$9,#REF!,#REF!,#REF!,'11 Mos Actual'!$U$10,'11 Mos Actual'!$AA$10,#REF!,#REF!,'11 Mos Actual'!$AM$10,'11 Mos Actual'!$AN$10</definedName>
    <definedName name="QB_FORMULA_20" localSheetId="0" hidden="1">#REF!,#REF!,#REF!,#REF!,'10 Mos Actual'!$AM$35,'10 Mos Actual'!$AN$35,'10 Mos Actual'!$AR$35,'10 Mos Actual'!$AS$35,#REF!,#REF!,#REF!,#REF!,#REF!,#REF!,'10 Mos Actual'!$U$36,'10 Mos Actual'!$AA$36</definedName>
    <definedName name="QB_FORMULA_20" localSheetId="1" hidden="1">#REF!,#REF!,#REF!,#REF!,'11 Mos Actual'!$AM$35,'11 Mos Actual'!$AN$35,'11 Mos Actual'!$AR$35,#REF!,#REF!,#REF!,#REF!,#REF!,#REF!,#REF!,'11 Mos Actual'!$U$36,'11 Mos Actual'!$AA$36</definedName>
    <definedName name="QB_FORMULA_21" localSheetId="0" hidden="1">#REF!,#REF!,#REF!,#REF!,'10 Mos Actual'!$AM$36,'10 Mos Actual'!$AN$36,'10 Mos Actual'!$AR$36,'10 Mos Actual'!$AS$36,'10 Mos Actual'!$E$37,#REF!,#REF!,#REF!,'10 Mos Actual'!$F$37,'10 Mos Actual'!$G$37,'10 Mos Actual'!$H$37,'10 Mos Actual'!$I$37</definedName>
    <definedName name="QB_FORMULA_21" localSheetId="1" hidden="1">#REF!,#REF!,#REF!,#REF!,'11 Mos Actual'!$AM$36,'11 Mos Actual'!$AN$36,'11 Mos Actual'!$AR$36,#REF!,'11 Mos Actual'!$E$37,#REF!,#REF!,#REF!,'11 Mos Actual'!$F$37,'11 Mos Actual'!$G$37,'11 Mos Actual'!$H$37,'11 Mos Actual'!$I$37</definedName>
    <definedName name="QB_FORMULA_22" localSheetId="0" hidden="1">'10 Mos Actual'!$J$37,#REF!,#REF!,#REF!,'10 Mos Actual'!$K$37,'10 Mos Actual'!$L$37,#REF!,#REF!,#REF!,'10 Mos Actual'!$M$37,'10 Mos Actual'!$N$37,'10 Mos Actual'!$O$37,#REF!,#REF!,#REF!,'10 Mos Actual'!$P$37</definedName>
    <definedName name="QB_FORMULA_22" localSheetId="1" hidden="1">'11 Mos Actual'!$J$37,#REF!,#REF!,#REF!,'11 Mos Actual'!$K$37,'11 Mos Actual'!$L$37,#REF!,#REF!,#REF!,'11 Mos Actual'!$M$37,'11 Mos Actual'!$N$37,'11 Mos Actual'!$O$37,#REF!,#REF!,#REF!,'11 Mos Actual'!$P$37</definedName>
    <definedName name="QB_FORMULA_23" localSheetId="0" hidden="1">'10 Mos Actual'!$Q$37,#REF!,#REF!,#REF!,'10 Mos Actual'!$R$37,'10 Mos Actual'!$S$37,'10 Mos Actual'!$T$37,#REF!,#REF!,#REF!,'10 Mos Actual'!$U$37,#REF!,#REF!,#REF!,'10 Mos Actual'!$V$37,#REF!</definedName>
    <definedName name="QB_FORMULA_23" localSheetId="1" hidden="1">'11 Mos Actual'!$Q$37,#REF!,#REF!,#REF!,'11 Mos Actual'!$R$37,'11 Mos Actual'!$S$37,'11 Mos Actual'!$T$37,#REF!,#REF!,#REF!,'11 Mos Actual'!$U$37,#REF!,#REF!,#REF!,'11 Mos Actual'!$V$37,#REF!</definedName>
    <definedName name="QB_FORMULA_24" localSheetId="0" hidden="1">#REF!,#REF!,'10 Mos Actual'!$W$37,#REF!,#REF!,#REF!,'10 Mos Actual'!$X$37,#REF!,#REF!,#REF!,'10 Mos Actual'!$Y$37,#REF!,#REF!,#REF!,'10 Mos Actual'!$Z$37,#REF!</definedName>
    <definedName name="QB_FORMULA_24" localSheetId="1" hidden="1">#REF!,#REF!,'11 Mos Actual'!$W$37,#REF!,#REF!,#REF!,'11 Mos Actual'!$X$37,#REF!,#REF!,#REF!,'11 Mos Actual'!$Y$37,#REF!,#REF!,#REF!,'11 Mos Actual'!$Z$37,#REF!</definedName>
    <definedName name="QB_FORMULA_25" localSheetId="0" hidden="1">#REF!,#REF!,'10 Mos Actual'!$AA$37,#REF!,#REF!,#REF!,'10 Mos Actual'!$AB$37,'10 Mos Actual'!$AC$37,'10 Mos Actual'!$AD$37,#REF!,#REF!,#REF!,'10 Mos Actual'!$AE$37,#REF!,#REF!,#REF!</definedName>
    <definedName name="QB_FORMULA_25" localSheetId="1" hidden="1">#REF!,#REF!,'11 Mos Actual'!$AA$37,#REF!,#REF!,#REF!,'11 Mos Actual'!$AB$37,'11 Mos Actual'!$AC$37,'11 Mos Actual'!$AD$37,#REF!,#REF!,#REF!,'11 Mos Actual'!$AE$37,#REF!,#REF!,#REF!</definedName>
    <definedName name="QB_FORMULA_26" localSheetId="0" hidden="1">'10 Mos Actual'!$AF$37,#REF!,#REF!,#REF!,'10 Mos Actual'!$AG$37,#REF!,#REF!,#REF!,'10 Mos Actual'!$AH$37,'10 Mos Actual'!$AI$37,#REF!,#REF!,#REF!,'10 Mos Actual'!$AJ$37,#REF!,#REF!</definedName>
    <definedName name="QB_FORMULA_26" localSheetId="1" hidden="1">'11 Mos Actual'!$AF$37,#REF!,#REF!,#REF!,'11 Mos Actual'!$AG$37,#REF!,#REF!,#REF!,'11 Mos Actual'!$AH$37,'11 Mos Actual'!$AI$37,#REF!,#REF!,#REF!,'11 Mos Actual'!$AJ$37,#REF!,#REF!</definedName>
    <definedName name="QB_FORMULA_27" localSheetId="0" hidden="1">#REF!,'10 Mos Actual'!$AK$37,'10 Mos Actual'!$AL$37,#REF!,#REF!,#REF!,#REF!,#REF!,#REF!,#REF!,'10 Mos Actual'!$AM$37,'10 Mos Actual'!$AN$37,'10 Mos Actual'!$AR$37,'10 Mos Actual'!$AS$37,'10 Mos Actual'!$U$39,'10 Mos Actual'!$AA$39</definedName>
    <definedName name="QB_FORMULA_27" localSheetId="1" hidden="1">#REF!,'11 Mos Actual'!$AK$37,'11 Mos Actual'!$AL$37,#REF!,#REF!,#REF!,#REF!,#REF!,#REF!,#REF!,'11 Mos Actual'!$AM$37,'11 Mos Actual'!$AN$37,'11 Mos Actual'!$AR$37,#REF!,'11 Mos Actual'!$U$39,'11 Mos Actual'!$AA$39</definedName>
    <definedName name="QB_FORMULA_28" localSheetId="0" hidden="1">#REF!,#REF!,#REF!,#REF!,#REF!,#REF!,'10 Mos Actual'!$AM$39,'10 Mos Actual'!$AN$39,'10 Mos Actual'!$AR$39,'10 Mos Actual'!$AS$39,'10 Mos Actual'!$U$40,'10 Mos Actual'!$AA$40,#REF!,#REF!,'10 Mos Actual'!$AM$40,'10 Mos Actual'!$AN$40</definedName>
    <definedName name="QB_FORMULA_28" localSheetId="1" hidden="1">#REF!,#REF!,#REF!,#REF!,#REF!,#REF!,'11 Mos Actual'!$AM$39,'11 Mos Actual'!$AN$39,'11 Mos Actual'!$AR$39,#REF!,'11 Mos Actual'!$U$40,'11 Mos Actual'!$AA$40,#REF!,#REF!,'11 Mos Actual'!$AM$40,'11 Mos Actual'!$AN$40</definedName>
    <definedName name="QB_FORMULA_29" localSheetId="0" hidden="1">'10 Mos Actual'!$AR$40,'10 Mos Actual'!$AS$40,'10 Mos Actual'!$U$41,'10 Mos Actual'!$AA$41,#REF!,#REF!,'10 Mos Actual'!$AM$41,'10 Mos Actual'!$AN$41,'10 Mos Actual'!$AR$41,'10 Mos Actual'!$AS$41,'10 Mos Actual'!$E$42,'10 Mos Actual'!$F$42,'10 Mos Actual'!$G$42,'10 Mos Actual'!$H$42,'10 Mos Actual'!$I$42,'10 Mos Actual'!$J$42</definedName>
    <definedName name="QB_FORMULA_29" localSheetId="1" hidden="1">'11 Mos Actual'!$AR$40,#REF!,'11 Mos Actual'!$U$41,'11 Mos Actual'!$AA$41,#REF!,#REF!,'11 Mos Actual'!$AM$41,'11 Mos Actual'!$AN$41,'11 Mos Actual'!$AR$41,#REF!,'11 Mos Actual'!$E$42,'11 Mos Actual'!$F$42,'11 Mos Actual'!$G$42,'11 Mos Actual'!$H$42,'11 Mos Actual'!$I$42,'11 Mos Actual'!$J$42</definedName>
    <definedName name="QB_FORMULA_3" localSheetId="0" hidden="1">'10 Mos Actual'!$AR$10,'10 Mos Actual'!$AS$10,#REF!,#REF!,'10 Mos Actual'!$U$11,'10 Mos Actual'!$AA$11,#REF!,#REF!,'10 Mos Actual'!$AM$11,'10 Mos Actual'!$AN$11,'10 Mos Actual'!$AR$11,'10 Mos Actual'!$AS$11,#REF!,#REF!,'10 Mos Actual'!$U$12,'10 Mos Actual'!$AA$12</definedName>
    <definedName name="QB_FORMULA_3" localSheetId="1" hidden="1">'11 Mos Actual'!$AR$10,#REF!,#REF!,#REF!,'11 Mos Actual'!$U$11,'11 Mos Actual'!$AA$11,#REF!,#REF!,'11 Mos Actual'!$AM$11,'11 Mos Actual'!$AN$11,'11 Mos Actual'!$AR$11,#REF!,#REF!,#REF!,'11 Mos Actual'!$U$12,'11 Mos Actual'!$AA$12</definedName>
    <definedName name="QB_FORMULA_30" localSheetId="0" hidden="1">'10 Mos Actual'!$K$42,'10 Mos Actual'!$L$42,'10 Mos Actual'!$M$42,'10 Mos Actual'!$N$42,'10 Mos Actual'!$O$42,'10 Mos Actual'!$P$42,'10 Mos Actual'!$Q$42,'10 Mos Actual'!$R$42,'10 Mos Actual'!$S$42,'10 Mos Actual'!$T$42,'10 Mos Actual'!$U$42,'10 Mos Actual'!$V$42,'10 Mos Actual'!$W$42,'10 Mos Actual'!$X$42,'10 Mos Actual'!$Y$42,'10 Mos Actual'!$Z$42</definedName>
    <definedName name="QB_FORMULA_30" localSheetId="1" hidden="1">'11 Mos Actual'!$K$42,'11 Mos Actual'!$L$42,'11 Mos Actual'!$M$42,'11 Mos Actual'!$N$42,'11 Mos Actual'!$O$42,'11 Mos Actual'!$P$42,'11 Mos Actual'!$Q$42,'11 Mos Actual'!$R$42,'11 Mos Actual'!$S$42,'11 Mos Actual'!$T$42,'11 Mos Actual'!$U$42,'11 Mos Actual'!$V$42,'11 Mos Actual'!$W$42,'11 Mos Actual'!$X$42,'11 Mos Actual'!$Y$42,'11 Mos Actual'!$Z$42</definedName>
    <definedName name="QB_FORMULA_31" localSheetId="0" hidden="1">'10 Mos Actual'!$AA$42,'10 Mos Actual'!$AB$42,'10 Mos Actual'!$AC$42,'10 Mos Actual'!$AD$42,#REF!,#REF!,#REF!,'10 Mos Actual'!$AE$42,#REF!,#REF!,#REF!,'10 Mos Actual'!$AF$42,'10 Mos Actual'!$AG$42,'10 Mos Actual'!$AH$42,'10 Mos Actual'!$AI$42,'10 Mos Actual'!$AJ$42</definedName>
    <definedName name="QB_FORMULA_31" localSheetId="1" hidden="1">'11 Mos Actual'!$AA$42,'11 Mos Actual'!$AB$42,'11 Mos Actual'!$AC$42,'11 Mos Actual'!$AD$42,#REF!,#REF!,#REF!,'11 Mos Actual'!$AE$42,#REF!,#REF!,#REF!,'11 Mos Actual'!$AF$42,'11 Mos Actual'!$AG$42,'11 Mos Actual'!$AH$42,'11 Mos Actual'!$AI$42,'11 Mos Actual'!$AJ$42</definedName>
    <definedName name="QB_FORMULA_32" localSheetId="0" hidden="1">'10 Mos Actual'!$AK$42,'10 Mos Actual'!$AL$42,#REF!,#REF!,#REF!,#REF!,'10 Mos Actual'!$AM$42,'10 Mos Actual'!$AN$42,'10 Mos Actual'!$AR$42,'10 Mos Actual'!$AS$42,'10 Mos Actual'!$E$43,#REF!,#REF!,#REF!,'10 Mos Actual'!$F$43,'10 Mos Actual'!$G$43</definedName>
    <definedName name="QB_FORMULA_32" localSheetId="1" hidden="1">'11 Mos Actual'!$AK$42,'11 Mos Actual'!$AL$42,#REF!,#REF!,#REF!,#REF!,'11 Mos Actual'!$AM$42,'11 Mos Actual'!$AN$42,'11 Mos Actual'!$AR$42,#REF!,'11 Mos Actual'!$E$43,#REF!,#REF!,#REF!,'11 Mos Actual'!$F$43,'11 Mos Actual'!$G$43</definedName>
    <definedName name="QB_FORMULA_33" localSheetId="0" hidden="1">'10 Mos Actual'!$H$43,'10 Mos Actual'!$I$43,'10 Mos Actual'!$J$43,#REF!,#REF!,#REF!,'10 Mos Actual'!$K$43,'10 Mos Actual'!$L$43,#REF!,#REF!,#REF!,'10 Mos Actual'!$M$43,'10 Mos Actual'!$N$43,'10 Mos Actual'!$O$43,#REF!,#REF!</definedName>
    <definedName name="QB_FORMULA_33" localSheetId="1" hidden="1">'11 Mos Actual'!$H$43,'11 Mos Actual'!$I$43,'11 Mos Actual'!$J$43,#REF!,#REF!,#REF!,'11 Mos Actual'!$K$43,'11 Mos Actual'!$L$43,#REF!,#REF!,#REF!,'11 Mos Actual'!$M$43,'11 Mos Actual'!$N$43,'11 Mos Actual'!$O$43,#REF!,#REF!</definedName>
    <definedName name="QB_FORMULA_34" localSheetId="0" hidden="1">#REF!,'10 Mos Actual'!$P$43,'10 Mos Actual'!$Q$43,#REF!,#REF!,#REF!,'10 Mos Actual'!$R$43,'10 Mos Actual'!$S$43,'10 Mos Actual'!$T$43,#REF!,#REF!,#REF!,'10 Mos Actual'!$U$43,#REF!,#REF!,#REF!</definedName>
    <definedName name="QB_FORMULA_34" localSheetId="1" hidden="1">#REF!,'11 Mos Actual'!$P$43,'11 Mos Actual'!$Q$43,#REF!,#REF!,#REF!,'11 Mos Actual'!$R$43,'11 Mos Actual'!$S$43,'11 Mos Actual'!$T$43,#REF!,#REF!,#REF!,'11 Mos Actual'!$U$43,#REF!,#REF!,#REF!</definedName>
    <definedName name="QB_FORMULA_35" localSheetId="0" hidden="1">'10 Mos Actual'!$V$43,#REF!,#REF!,#REF!,'10 Mos Actual'!$W$43,#REF!,#REF!,#REF!,'10 Mos Actual'!$X$43,#REF!,#REF!,#REF!,'10 Mos Actual'!$Y$43,#REF!,#REF!,#REF!</definedName>
    <definedName name="QB_FORMULA_35" localSheetId="1" hidden="1">'11 Mos Actual'!$V$43,#REF!,#REF!,#REF!,'11 Mos Actual'!$W$43,#REF!,#REF!,#REF!,'11 Mos Actual'!$X$43,#REF!,#REF!,#REF!,'11 Mos Actual'!$Y$43,#REF!,#REF!,#REF!</definedName>
    <definedName name="QB_FORMULA_36" localSheetId="0" hidden="1">'10 Mos Actual'!$Z$43,#REF!,#REF!,#REF!,'10 Mos Actual'!$AA$43,#REF!,#REF!,#REF!,'10 Mos Actual'!$AB$43,'10 Mos Actual'!$AC$43,'10 Mos Actual'!$AD$43,#REF!,#REF!,#REF!,'10 Mos Actual'!$AE$43,#REF!</definedName>
    <definedName name="QB_FORMULA_36" localSheetId="1" hidden="1">'11 Mos Actual'!$Z$43,#REF!,#REF!,#REF!,'11 Mos Actual'!$AA$43,#REF!,#REF!,#REF!,'11 Mos Actual'!$AB$43,'11 Mos Actual'!$AC$43,'11 Mos Actual'!$AD$43,#REF!,#REF!,#REF!,'11 Mos Actual'!$AE$43,#REF!</definedName>
    <definedName name="QB_FORMULA_37" localSheetId="0" hidden="1">#REF!,#REF!,'10 Mos Actual'!$AF$43,#REF!,#REF!,#REF!,'10 Mos Actual'!$AG$43,#REF!,#REF!,#REF!,'10 Mos Actual'!$AH$43,'10 Mos Actual'!$AI$43,#REF!,#REF!,#REF!,'10 Mos Actual'!$AJ$43</definedName>
    <definedName name="QB_FORMULA_37" localSheetId="1" hidden="1">#REF!,#REF!,'11 Mos Actual'!$AF$43,#REF!,#REF!,#REF!,'11 Mos Actual'!$AG$43,#REF!,#REF!,#REF!,'11 Mos Actual'!$AH$43,'11 Mos Actual'!$AI$43,#REF!,#REF!,#REF!,'11 Mos Actual'!$AJ$43</definedName>
    <definedName name="QB_FORMULA_38" localSheetId="0" hidden="1">#REF!,#REF!,#REF!,'10 Mos Actual'!$AK$43,'10 Mos Actual'!$AL$43,#REF!,#REF!,#REF!,#REF!,#REF!,#REF!,#REF!,'10 Mos Actual'!$AM$43,'10 Mos Actual'!$AN$43,'10 Mos Actual'!$AR$43,'10 Mos Actual'!$AS$43</definedName>
    <definedName name="QB_FORMULA_38" localSheetId="1" hidden="1">#REF!,#REF!,#REF!,'11 Mos Actual'!$AK$43,'11 Mos Actual'!$AL$43,#REF!,#REF!,#REF!,#REF!,#REF!,#REF!,#REF!,'11 Mos Actual'!$AM$43,'11 Mos Actual'!$AN$43,'11 Mos Actual'!$AR$43,#REF!</definedName>
    <definedName name="QB_FORMULA_39" localSheetId="0" hidden="1">#REF!,#REF!,'10 Mos Actual'!$U$45,'10 Mos Actual'!$AA$45,#REF!,#REF!,#REF!,#REF!,#REF!,#REF!,'10 Mos Actual'!$AM$45,'10 Mos Actual'!$AN$45,'10 Mos Actual'!$AR$45,'10 Mos Actual'!$AS$45,#REF!,#REF!</definedName>
    <definedName name="QB_FORMULA_39" localSheetId="1" hidden="1">#REF!,#REF!,'11 Mos Actual'!$U$45,'11 Mos Actual'!$AA$45,#REF!,#REF!,#REF!,#REF!,#REF!,#REF!,'11 Mos Actual'!$AM$45,'11 Mos Actual'!$AN$45,'11 Mos Actual'!$AR$45,#REF!,#REF!,#REF!</definedName>
    <definedName name="QB_FORMULA_4" localSheetId="0" hidden="1">#REF!,#REF!,'10 Mos Actual'!$AM$12,'10 Mos Actual'!$AN$12,'10 Mos Actual'!$AR$12,'10 Mos Actual'!$AS$12,#REF!,#REF!,#REF!,#REF!,#REF!,#REF!,'10 Mos Actual'!$U$13,#REF!,#REF!,#REF!</definedName>
    <definedName name="QB_FORMULA_4" localSheetId="1" hidden="1">#REF!,#REF!,'11 Mos Actual'!$AM$12,'11 Mos Actual'!$AN$12,'11 Mos Actual'!$AR$12,#REF!,#REF!,#REF!,#REF!,#REF!,#REF!,#REF!,'11 Mos Actual'!$U$13,#REF!,#REF!,#REF!</definedName>
    <definedName name="QB_FORMULA_40" localSheetId="0" hidden="1">#REF!,#REF!,#REF!,#REF!,#REF!,#REF!,#REF!,#REF!,'10 Mos Actual'!$U$46,'10 Mos Actual'!$AA$46,#REF!,#REF!,'10 Mos Actual'!$AM$46,'10 Mos Actual'!$AN$46,'10 Mos Actual'!$AR$46,'10 Mos Actual'!$AS$46</definedName>
    <definedName name="QB_FORMULA_40" localSheetId="1" hidden="1">#REF!,#REF!,#REF!,#REF!,#REF!,#REF!,#REF!,#REF!,'11 Mos Actual'!$U$46,'11 Mos Actual'!$AA$46,#REF!,#REF!,'11 Mos Actual'!$AM$46,'11 Mos Actual'!$AN$46,'11 Mos Actual'!$AR$46,#REF!</definedName>
    <definedName name="QB_FORMULA_41" localSheetId="0" hidden="1">#REF!,#REF!,'10 Mos Actual'!$U$47,'10 Mos Actual'!$AA$47,#REF!,#REF!,'10 Mos Actual'!$AM$47,'10 Mos Actual'!$AN$47,'10 Mos Actual'!$AR$47,'10 Mos Actual'!$AS$47,#REF!,#REF!,'10 Mos Actual'!$U$48,'10 Mos Actual'!$AA$48,#REF!,#REF!</definedName>
    <definedName name="QB_FORMULA_41" localSheetId="1" hidden="1">#REF!,#REF!,'11 Mos Actual'!$U$47,'11 Mos Actual'!$AA$47,#REF!,#REF!,'11 Mos Actual'!$AM$47,'11 Mos Actual'!$AN$47,'11 Mos Actual'!$AR$47,#REF!,#REF!,#REF!,'11 Mos Actual'!$U$48,'11 Mos Actual'!$AA$48,#REF!,#REF!</definedName>
    <definedName name="QB_FORMULA_42" localSheetId="0" hidden="1">#REF!,#REF!,'10 Mos Actual'!$AM$48,'10 Mos Actual'!$AN$48,'10 Mos Actual'!$AR$48,'10 Mos Actual'!$AS$48,#REF!,#REF!,#REF!,#REF!,'10 Mos Actual'!$U$49,'10 Mos Actual'!$AA$49,#REF!,#REF!,#REF!,#REF!</definedName>
    <definedName name="QB_FORMULA_42" localSheetId="1" hidden="1">#REF!,#REF!,'11 Mos Actual'!$AM$48,'11 Mos Actual'!$AN$48,'11 Mos Actual'!$AR$48,#REF!,#REF!,#REF!,#REF!,#REF!,'11 Mos Actual'!$U$49,'11 Mos Actual'!$AA$49,#REF!,#REF!,#REF!,#REF!</definedName>
    <definedName name="QB_FORMULA_43" localSheetId="0" hidden="1">#REF!,#REF!,'10 Mos Actual'!$AM$49,'10 Mos Actual'!$AN$49,'10 Mos Actual'!$AR$49,'10 Mos Actual'!$AS$49,#REF!,#REF!,'10 Mos Actual'!$U$50,'10 Mos Actual'!$AA$50,#REF!,#REF!,#REF!,#REF!,#REF!,#REF!</definedName>
    <definedName name="QB_FORMULA_43" localSheetId="1" hidden="1">#REF!,#REF!,'11 Mos Actual'!$AM$49,'11 Mos Actual'!$AN$49,'11 Mos Actual'!$AR$49,#REF!,#REF!,#REF!,'11 Mos Actual'!$U$50,'11 Mos Actual'!$AA$50,#REF!,#REF!,#REF!,#REF!,#REF!,#REF!</definedName>
    <definedName name="QB_FORMULA_44" localSheetId="0" hidden="1">'10 Mos Actual'!$AM$50,'10 Mos Actual'!$AN$50,'10 Mos Actual'!$AR$50,'10 Mos Actual'!$AS$50,#REF!,#REF!,#REF!,#REF!,'10 Mos Actual'!$U$51,'10 Mos Actual'!$AA$51,#REF!,#REF!,#REF!,#REF!,'10 Mos Actual'!$AM$51,'10 Mos Actual'!$AN$51</definedName>
    <definedName name="QB_FORMULA_44" localSheetId="1" hidden="1">'11 Mos Actual'!$AM$50,'11 Mos Actual'!$AN$50,'11 Mos Actual'!$AR$50,#REF!,#REF!,#REF!,#REF!,#REF!,'11 Mos Actual'!$U$51,'11 Mos Actual'!$AA$51,#REF!,#REF!,#REF!,#REF!,'11 Mos Actual'!$AM$51,'11 Mos Actual'!$AN$51</definedName>
    <definedName name="QB_FORMULA_45" localSheetId="0" hidden="1">'10 Mos Actual'!$AR$51,'10 Mos Actual'!$AS$51,#REF!,#REF!,'10 Mos Actual'!$U$52,'10 Mos Actual'!$AA$52,#REF!,#REF!,#REF!,#REF!,#REF!,#REF!,'10 Mos Actual'!$AM$52,'10 Mos Actual'!$AN$52,'10 Mos Actual'!$AR$52,'10 Mos Actual'!$AS$52</definedName>
    <definedName name="QB_FORMULA_45" localSheetId="1" hidden="1">'11 Mos Actual'!$AR$51,#REF!,#REF!,#REF!,'11 Mos Actual'!$U$52,'11 Mos Actual'!$AA$52,#REF!,#REF!,#REF!,#REF!,#REF!,#REF!,'11 Mos Actual'!$AM$52,'11 Mos Actual'!$AN$52,'11 Mos Actual'!$AR$52,#REF!</definedName>
    <definedName name="QB_FORMULA_46" localSheetId="0" hidden="1">#REF!,#REF!,'10 Mos Actual'!$U$53,'10 Mos Actual'!$AA$53,#REF!,#REF!,#REF!,#REF!,#REF!,#REF!,'10 Mos Actual'!$AM$53,'10 Mos Actual'!$AN$53,'10 Mos Actual'!$AR$53,'10 Mos Actual'!$AS$53,#REF!,#REF!</definedName>
    <definedName name="QB_FORMULA_46" localSheetId="1" hidden="1">#REF!,#REF!,'11 Mos Actual'!$U$53,'11 Mos Actual'!$AA$53,#REF!,#REF!,#REF!,#REF!,#REF!,#REF!,'11 Mos Actual'!$AM$53,'11 Mos Actual'!$AN$53,'11 Mos Actual'!$AR$53,#REF!,#REF!,#REF!</definedName>
    <definedName name="QB_FORMULA_47" localSheetId="0" hidden="1">'10 Mos Actual'!$U$54,'10 Mos Actual'!$AA$54,#REF!,#REF!,#REF!,#REF!,#REF!,#REF!,'10 Mos Actual'!$AM$54,'10 Mos Actual'!$AN$54,'10 Mos Actual'!$AR$54,'10 Mos Actual'!$AS$54,'10 Mos Actual'!$U$55,'10 Mos Actual'!$AA$55,#REF!,#REF!</definedName>
    <definedName name="QB_FORMULA_47" localSheetId="1" hidden="1">'11 Mos Actual'!$U$54,'11 Mos Actual'!$AA$54,#REF!,#REF!,#REF!,#REF!,#REF!,#REF!,'11 Mos Actual'!$AM$54,'11 Mos Actual'!$AN$54,'11 Mos Actual'!$AR$54,#REF!,'11 Mos Actual'!$U$55,'11 Mos Actual'!$AA$55,#REF!,#REF!</definedName>
    <definedName name="QB_FORMULA_48" localSheetId="0" hidden="1">'10 Mos Actual'!$AM$55,'10 Mos Actual'!$AN$55,'10 Mos Actual'!$AR$55,'10 Mos Actual'!$AS$55,#REF!,#REF!,#REF!,#REF!,#REF!,#REF!,'10 Mos Actual'!$U$56,'10 Mos Actual'!$AA$56,#REF!,#REF!,#REF!,#REF!</definedName>
    <definedName name="QB_FORMULA_48" localSheetId="1" hidden="1">'11 Mos Actual'!$AM$55,'11 Mos Actual'!$AN$55,'11 Mos Actual'!$AR$55,#REF!,#REF!,#REF!,#REF!,#REF!,#REF!,#REF!,'11 Mos Actual'!$U$56,'11 Mos Actual'!$AA$56,#REF!,#REF!,#REF!,#REF!</definedName>
    <definedName name="QB_FORMULA_49" localSheetId="0" hidden="1">#REF!,#REF!,#REF!,#REF!,#REF!,#REF!,'10 Mos Actual'!$AM$56,'10 Mos Actual'!$AN$56,'10 Mos Actual'!$AR$56,'10 Mos Actual'!$AS$56,#REF!,#REF!,'10 Mos Actual'!$U$57,'10 Mos Actual'!$AA$57,#REF!,#REF!</definedName>
    <definedName name="QB_FORMULA_49" localSheetId="1" hidden="1">#REF!,#REF!,#REF!,#REF!,#REF!,#REF!,'11 Mos Actual'!$AM$56,'11 Mos Actual'!$AN$56,'11 Mos Actual'!$AR$56,#REF!,#REF!,#REF!,'11 Mos Actual'!$U$57,'11 Mos Actual'!$AA$57,#REF!,#REF!</definedName>
    <definedName name="QB_FORMULA_5" localSheetId="0" hidden="1">#REF!,#REF!,#REF!,#REF!,#REF!,#REF!,#REF!,#REF!,#REF!,#REF!,'10 Mos Actual'!$AA$13,#REF!,#REF!,#REF!,#REF!,#REF!</definedName>
    <definedName name="QB_FORMULA_5" localSheetId="1" hidden="1">#REF!,#REF!,#REF!,#REF!,#REF!,#REF!,#REF!,#REF!,#REF!,#REF!,'11 Mos Actual'!$AA$13,#REF!,#REF!,#REF!,#REF!,#REF!</definedName>
    <definedName name="QB_FORMULA_50" localSheetId="0" hidden="1">#REF!,#REF!,'10 Mos Actual'!$AM$57,'10 Mos Actual'!$AN$57,'10 Mos Actual'!$AR$57,'10 Mos Actual'!$AS$57,#REF!,#REF!,'10 Mos Actual'!$U$58,'10 Mos Actual'!$AA$58,#REF!,#REF!,#REF!,#REF!,'10 Mos Actual'!$AM$58,'10 Mos Actual'!$AN$58</definedName>
    <definedName name="QB_FORMULA_50" localSheetId="1" hidden="1">#REF!,#REF!,'11 Mos Actual'!$AM$57,'11 Mos Actual'!$AN$57,'11 Mos Actual'!$AR$57,#REF!,#REF!,#REF!,'11 Mos Actual'!$U$58,'11 Mos Actual'!$AA$58,#REF!,#REF!,#REF!,#REF!,'11 Mos Actual'!$AM$58,'11 Mos Actual'!$AN$58</definedName>
    <definedName name="QB_FORMULA_51" localSheetId="0" hidden="1">'10 Mos Actual'!$AR$58,'10 Mos Actual'!$AS$58,#REF!,#REF!,'10 Mos Actual'!$U$59,'10 Mos Actual'!$AA$59,#REF!,#REF!,#REF!,#REF!,'10 Mos Actual'!$AM$59,'10 Mos Actual'!$AN$59,'10 Mos Actual'!$AR$59,'10 Mos Actual'!$AS$59,#REF!,#REF!</definedName>
    <definedName name="QB_FORMULA_51" localSheetId="1" hidden="1">'11 Mos Actual'!$AR$58,#REF!,#REF!,#REF!,'11 Mos Actual'!$U$59,'11 Mos Actual'!$AA$59,#REF!,#REF!,#REF!,#REF!,'11 Mos Actual'!$AM$59,'11 Mos Actual'!$AN$59,'11 Mos Actual'!$AR$59,#REF!,#REF!,#REF!</definedName>
    <definedName name="QB_FORMULA_52" localSheetId="0" hidden="1">'10 Mos Actual'!$U$60,'10 Mos Actual'!$AA$60,#REF!,#REF!,#REF!,#REF!,'10 Mos Actual'!$AM$60,'10 Mos Actual'!$AN$60,'10 Mos Actual'!$AR$60,'10 Mos Actual'!$AS$60,#REF!,#REF!,'10 Mos Actual'!$U$61,'10 Mos Actual'!$AA$61,#REF!,#REF!</definedName>
    <definedName name="QB_FORMULA_52" localSheetId="1" hidden="1">'11 Mos Actual'!$U$60,'11 Mos Actual'!$AA$60,#REF!,#REF!,#REF!,#REF!,'11 Mos Actual'!$AM$60,'11 Mos Actual'!$AN$60,'11 Mos Actual'!$AR$60,#REF!,#REF!,#REF!,'11 Mos Actual'!$U$61,'11 Mos Actual'!$AA$61,#REF!,#REF!</definedName>
    <definedName name="QB_FORMULA_53" localSheetId="0" hidden="1">'10 Mos Actual'!$AM$61,'10 Mos Actual'!$AN$61,'10 Mos Actual'!$AR$61,'10 Mos Actual'!$AS$61,#REF!,#REF!,'10 Mos Actual'!$U$62,'10 Mos Actual'!$AA$62,#REF!,#REF!,'10 Mos Actual'!$AM$62,'10 Mos Actual'!$AN$62,'10 Mos Actual'!$AR$62,'10 Mos Actual'!$AS$62,#REF!,#REF!</definedName>
    <definedName name="QB_FORMULA_53" localSheetId="1" hidden="1">'11 Mos Actual'!$AM$61,'11 Mos Actual'!$AN$61,'11 Mos Actual'!$AR$61,#REF!,#REF!,#REF!,'11 Mos Actual'!$U$62,'11 Mos Actual'!$AA$62,#REF!,#REF!,'11 Mos Actual'!$AM$62,'11 Mos Actual'!$AN$62,'11 Mos Actual'!$AR$62,#REF!,#REF!,#REF!</definedName>
    <definedName name="QB_FORMULA_54" localSheetId="0" hidden="1">'10 Mos Actual'!$U$63,'10 Mos Actual'!$AA$63,#REF!,#REF!,#REF!,#REF!,'10 Mos Actual'!$AM$63,'10 Mos Actual'!$AN$63,'10 Mos Actual'!$AR$63,'10 Mos Actual'!$AS$63,#REF!,#REF!,#REF!,#REF!,'10 Mos Actual'!$U$64,'10 Mos Actual'!$AA$64</definedName>
    <definedName name="QB_FORMULA_54" localSheetId="1" hidden="1">'11 Mos Actual'!$U$63,'11 Mos Actual'!$AA$63,#REF!,#REF!,#REF!,#REF!,'11 Mos Actual'!$AM$63,'11 Mos Actual'!$AN$63,'11 Mos Actual'!$AR$63,#REF!,#REF!,#REF!,#REF!,#REF!,'11 Mos Actual'!$U$64,'11 Mos Actual'!$AA$64</definedName>
    <definedName name="QB_FORMULA_55" localSheetId="0" hidden="1">#REF!,#REF!,'10 Mos Actual'!$AM$64,'10 Mos Actual'!$AN$64,'10 Mos Actual'!$AR$64,'10 Mos Actual'!$AS$64,'10 Mos Actual'!$U$65,'10 Mos Actual'!$AA$65,#REF!,#REF!,#REF!,#REF!,#REF!,#REF!,'10 Mos Actual'!$AM$65,'10 Mos Actual'!$AN$65</definedName>
    <definedName name="QB_FORMULA_55" localSheetId="1" hidden="1">#REF!,#REF!,'11 Mos Actual'!$AM$64,'11 Mos Actual'!$AN$64,'11 Mos Actual'!$AR$64,#REF!,'11 Mos Actual'!$U$65,'11 Mos Actual'!$AA$65,#REF!,#REF!,#REF!,#REF!,#REF!,#REF!,'11 Mos Actual'!$AM$65,'11 Mos Actual'!$AN$65</definedName>
    <definedName name="QB_FORMULA_56" localSheetId="0" hidden="1">'10 Mos Actual'!$AR$65,'10 Mos Actual'!$AS$65,#REF!,#REF!,#REF!,#REF!,#REF!,#REF!,#REF!,#REF!,#REF!,#REF!,'10 Mos Actual'!$U$66,'10 Mos Actual'!$AA$66,#REF!,#REF!</definedName>
    <definedName name="QB_FORMULA_56" localSheetId="1" hidden="1">'11 Mos Actual'!$AR$65,#REF!,#REF!,#REF!,#REF!,#REF!,#REF!,#REF!,#REF!,#REF!,#REF!,#REF!,'11 Mos Actual'!$U$66,'11 Mos Actual'!$AA$66,#REF!,#REF!</definedName>
    <definedName name="QB_FORMULA_57" localSheetId="0" hidden="1">#REF!,#REF!,#REF!,#REF!,#REF!,#REF!,#REF!,#REF!,'10 Mos Actual'!$AM$66,'10 Mos Actual'!$AN$66,'10 Mos Actual'!$AR$66,'10 Mos Actual'!$AS$66,#REF!,#REF!,'10 Mos Actual'!$U$67,'10 Mos Actual'!$AA$67</definedName>
    <definedName name="QB_FORMULA_57" localSheetId="1" hidden="1">#REF!,#REF!,#REF!,#REF!,#REF!,#REF!,#REF!,#REF!,'11 Mos Actual'!$AM$66,'11 Mos Actual'!$AN$66,'11 Mos Actual'!$AR$66,#REF!,#REF!,#REF!,'11 Mos Actual'!$U$67,'11 Mos Actual'!$AA$67</definedName>
    <definedName name="QB_FORMULA_58" localSheetId="0" hidden="1">#REF!,#REF!,#REF!,#REF!,'10 Mos Actual'!$AM$67,'10 Mos Actual'!$AN$67,'10 Mos Actual'!$AR$67,'10 Mos Actual'!$AS$67,#REF!,#REF!,'10 Mos Actual'!$U$68,'10 Mos Actual'!$AA$68,#REF!,#REF!,'10 Mos Actual'!$AM$68,'10 Mos Actual'!$AN$68</definedName>
    <definedName name="QB_FORMULA_58" localSheetId="1" hidden="1">#REF!,#REF!,#REF!,#REF!,'11 Mos Actual'!$AM$67,'11 Mos Actual'!$AN$67,'11 Mos Actual'!$AR$67,#REF!,#REF!,#REF!,'11 Mos Actual'!$U$68,'11 Mos Actual'!$AA$68,#REF!,#REF!,'11 Mos Actual'!$AM$68,'11 Mos Actual'!$AN$68</definedName>
    <definedName name="QB_FORMULA_59" localSheetId="0" hidden="1">'10 Mos Actual'!$AR$68,'10 Mos Actual'!$AS$68,'10 Mos Actual'!$U$69,'10 Mos Actual'!$AA$69,#REF!,#REF!,'10 Mos Actual'!$AM$69,'10 Mos Actual'!$AN$69,'10 Mos Actual'!$AR$69,'10 Mos Actual'!$AS$69,#REF!,#REF!,'10 Mos Actual'!$U$70,'10 Mos Actual'!$AA$70,#REF!,#REF!</definedName>
    <definedName name="QB_FORMULA_59" localSheetId="1" hidden="1">'11 Mos Actual'!$AR$68,#REF!,'11 Mos Actual'!$U$69,'11 Mos Actual'!$AA$69,#REF!,#REF!,'11 Mos Actual'!$AM$69,'11 Mos Actual'!$AN$69,'11 Mos Actual'!$AR$69,#REF!,#REF!,#REF!,'11 Mos Actual'!$U$70,'11 Mos Actual'!$AA$70,#REF!,#REF!</definedName>
    <definedName name="QB_FORMULA_6" localSheetId="0" hidden="1">'10 Mos Actual'!$AM$13,'10 Mos Actual'!$AN$13,'10 Mos Actual'!$AR$13,'10 Mos Actual'!$AS$13,#REF!,#REF!,'10 Mos Actual'!$U$14,#REF!,#REF!,'10 Mos Actual'!$AA$14,#REF!,#REF!,#REF!,#REF!,#REF!,'10 Mos Actual'!$AM$14</definedName>
    <definedName name="QB_FORMULA_6" localSheetId="1" hidden="1">'11 Mos Actual'!$AM$13,'11 Mos Actual'!$AN$13,'11 Mos Actual'!$AR$13,#REF!,#REF!,#REF!,'11 Mos Actual'!$U$14,#REF!,#REF!,'11 Mos Actual'!$AA$14,#REF!,#REF!,#REF!,#REF!,#REF!,'11 Mos Actual'!$AM$14</definedName>
    <definedName name="QB_FORMULA_60" localSheetId="0" hidden="1">#REF!,#REF!,'10 Mos Actual'!$AM$70,'10 Mos Actual'!$AN$70,'10 Mos Actual'!$AR$70,'10 Mos Actual'!$AS$70,#REF!,#REF!,#REF!,#REF!,#REF!,#REF!,#REF!,#REF!,'10 Mos Actual'!$U$71,'10 Mos Actual'!$AA$71</definedName>
    <definedName name="QB_FORMULA_60" localSheetId="1" hidden="1">#REF!,#REF!,'11 Mos Actual'!$AM$70,'11 Mos Actual'!$AN$70,'11 Mos Actual'!$AR$70,#REF!,#REF!,#REF!,#REF!,#REF!,#REF!,#REF!,#REF!,#REF!,'11 Mos Actual'!$U$71,'11 Mos Actual'!$AA$71</definedName>
    <definedName name="QB_FORMULA_61" localSheetId="0" hidden="1">#REF!,#REF!,#REF!,#REF!,#REF!,#REF!,'10 Mos Actual'!$AM$71,'10 Mos Actual'!$AN$71,'10 Mos Actual'!$AR$71,'10 Mos Actual'!$AS$71,#REF!,#REF!,'10 Mos Actual'!$U$72,'10 Mos Actual'!$AA$72,#REF!,#REF!</definedName>
    <definedName name="QB_FORMULA_61" localSheetId="1" hidden="1">#REF!,#REF!,#REF!,#REF!,#REF!,#REF!,'11 Mos Actual'!$AM$71,'11 Mos Actual'!$AN$71,'11 Mos Actual'!$AR$71,#REF!,#REF!,#REF!,'11 Mos Actual'!$U$72,'11 Mos Actual'!$AA$72,#REF!,#REF!</definedName>
    <definedName name="QB_FORMULA_62" localSheetId="0" hidden="1">'10 Mos Actual'!$AM$72,'10 Mos Actual'!$AN$72,'10 Mos Actual'!$AR$72,'10 Mos Actual'!$AS$72,#REF!,#REF!,'10 Mos Actual'!$U$73,'10 Mos Actual'!$AA$73,#REF!,#REF!,'10 Mos Actual'!$AM$73,'10 Mos Actual'!$AN$73,'10 Mos Actual'!$AR$73,'10 Mos Actual'!$AS$73,#REF!,#REF!</definedName>
    <definedName name="QB_FORMULA_62" localSheetId="1" hidden="1">'11 Mos Actual'!$AM$72,'11 Mos Actual'!$AN$72,'11 Mos Actual'!$AR$72,#REF!,#REF!,#REF!,'11 Mos Actual'!$U$73,'11 Mos Actual'!$AA$73,#REF!,#REF!,'11 Mos Actual'!$AM$73,'11 Mos Actual'!$AN$73,'11 Mos Actual'!$AR$73,#REF!,#REF!,#REF!</definedName>
    <definedName name="QB_FORMULA_63" localSheetId="0" hidden="1">#REF!,#REF!,'10 Mos Actual'!$U$74,#REF!,#REF!,#REF!,#REF!,#REF!,#REF!,#REF!,#REF!,#REF!,#REF!,'10 Mos Actual'!$AA$74,#REF!,#REF!</definedName>
    <definedName name="QB_FORMULA_63" localSheetId="1" hidden="1">#REF!,#REF!,'11 Mos Actual'!$U$74,#REF!,#REF!,#REF!,#REF!,#REF!,#REF!,#REF!,#REF!,#REF!,#REF!,'11 Mos Actual'!$AA$74,#REF!,#REF!</definedName>
    <definedName name="QB_FORMULA_64" localSheetId="0" hidden="1">#REF!,#REF!,#REF!,#REF!,#REF!,#REF!,#REF!,'10 Mos Actual'!$AM$74,'10 Mos Actual'!$AN$74,'10 Mos Actual'!$AR$74,'10 Mos Actual'!$AS$74,#REF!,#REF!,#REF!,#REF!,#REF!</definedName>
    <definedName name="QB_FORMULA_64" localSheetId="1" hidden="1">#REF!,#REF!,#REF!,#REF!,#REF!,#REF!,#REF!,'11 Mos Actual'!$AM$74,'11 Mos Actual'!$AN$74,'11 Mos Actual'!$AR$74,#REF!,#REF!,#REF!,#REF!,#REF!,#REF!</definedName>
    <definedName name="QB_FORMULA_65" localSheetId="0" hidden="1">#REF!,#REF!,#REF!,#REF!,#REF!,'10 Mos Actual'!$U$76,#REF!,#REF!,#REF!,'10 Mos Actual'!$AA$76,#REF!,#REF!,'10 Mos Actual'!$AM$76,'10 Mos Actual'!$AN$76,'10 Mos Actual'!$AR$76,'10 Mos Actual'!$AS$76</definedName>
    <definedName name="QB_FORMULA_65" localSheetId="1" hidden="1">#REF!,#REF!,#REF!,#REF!,#REF!,'11 Mos Actual'!$U$76,#REF!,#REF!,#REF!,'11 Mos Actual'!$AA$76,#REF!,#REF!,'11 Mos Actual'!$AM$76,'11 Mos Actual'!$AN$76,'11 Mos Actual'!$AR$76,#REF!</definedName>
    <definedName name="QB_FORMULA_66" localSheetId="0" hidden="1">#REF!,#REF!,'10 Mos Actual'!$U$77,'10 Mos Actual'!$AA$77,#REF!,#REF!,'10 Mos Actual'!$AM$77,'10 Mos Actual'!$AN$77,'10 Mos Actual'!$AR$77,'10 Mos Actual'!$AS$77,#REF!,#REF!,'10 Mos Actual'!$U$78,'10 Mos Actual'!$AA$78,#REF!,#REF!</definedName>
    <definedName name="QB_FORMULA_66" localSheetId="1" hidden="1">#REF!,#REF!,'11 Mos Actual'!$U$77,'11 Mos Actual'!$AA$77,#REF!,#REF!,'11 Mos Actual'!$AM$77,'11 Mos Actual'!$AN$77,'11 Mos Actual'!$AR$77,#REF!,#REF!,#REF!,'11 Mos Actual'!$U$78,'11 Mos Actual'!$AA$78,#REF!,#REF!</definedName>
    <definedName name="QB_FORMULA_67" localSheetId="0" hidden="1">'10 Mos Actual'!$AM$78,'10 Mos Actual'!$AN$78,'10 Mos Actual'!$AR$78,'10 Mos Actual'!$AS$78,#REF!,#REF!,'10 Mos Actual'!$U$79,'10 Mos Actual'!$AA$79,#REF!,#REF!,'10 Mos Actual'!$AM$79,'10 Mos Actual'!$AN$79,'10 Mos Actual'!$AR$79,'10 Mos Actual'!$AS$79,#REF!,#REF!</definedName>
    <definedName name="QB_FORMULA_67" localSheetId="1" hidden="1">'11 Mos Actual'!$AM$78,'11 Mos Actual'!$AN$78,'11 Mos Actual'!$AR$78,#REF!,#REF!,#REF!,'11 Mos Actual'!$U$79,'11 Mos Actual'!$AA$79,#REF!,#REF!,'11 Mos Actual'!$AM$79,'11 Mos Actual'!$AN$79,'11 Mos Actual'!$AR$79,#REF!,#REF!,#REF!</definedName>
    <definedName name="QB_FORMULA_68" localSheetId="0" hidden="1">'10 Mos Actual'!$U$80,'10 Mos Actual'!$AA$80,#REF!,#REF!,'10 Mos Actual'!$AM$80,'10 Mos Actual'!$AN$80,'10 Mos Actual'!$AR$80,'10 Mos Actual'!$AS$80,#REF!,#REF!,'10 Mos Actual'!$U$81,'10 Mos Actual'!$AA$81,#REF!,#REF!,'10 Mos Actual'!$AM$81,'10 Mos Actual'!$AN$81</definedName>
    <definedName name="QB_FORMULA_68" localSheetId="1" hidden="1">'11 Mos Actual'!$U$80,'11 Mos Actual'!$AA$80,#REF!,#REF!,'11 Mos Actual'!$AM$80,'11 Mos Actual'!$AN$80,'11 Mos Actual'!$AR$80,#REF!,#REF!,#REF!,'11 Mos Actual'!$U$81,'11 Mos Actual'!$AA$81,#REF!,#REF!,'11 Mos Actual'!$AM$81,'11 Mos Actual'!$AN$81</definedName>
    <definedName name="QB_FORMULA_69" localSheetId="0" hidden="1">'10 Mos Actual'!$AR$81,'10 Mos Actual'!$AS$81,#REF!,#REF!,'10 Mos Actual'!$U$82,'10 Mos Actual'!$AA$82,#REF!,#REF!,#REF!,#REF!,'10 Mos Actual'!$AM$82,'10 Mos Actual'!$AN$82,'10 Mos Actual'!$AR$82,'10 Mos Actual'!$AS$82,'10 Mos Actual'!$U$83,'10 Mos Actual'!$AA$83</definedName>
    <definedName name="QB_FORMULA_69" localSheetId="1" hidden="1">'11 Mos Actual'!$AR$81,#REF!,#REF!,#REF!,'11 Mos Actual'!$U$82,'11 Mos Actual'!$AA$82,#REF!,#REF!,#REF!,#REF!,'11 Mos Actual'!$AM$82,'11 Mos Actual'!$AN$82,'11 Mos Actual'!$AR$82,#REF!,'11 Mos Actual'!$U$83,'11 Mos Actual'!$AA$83</definedName>
    <definedName name="QB_FORMULA_7" localSheetId="0" hidden="1">'10 Mos Actual'!$AN$14,'10 Mos Actual'!$AR$14,'10 Mos Actual'!$AS$14,#REF!,#REF!,'10 Mos Actual'!$U$15,'10 Mos Actual'!$AA$15,#REF!,#REF!,'10 Mos Actual'!$AM$15,'10 Mos Actual'!$AN$15,'10 Mos Actual'!$AR$15,'10 Mos Actual'!$AS$15,'10 Mos Actual'!$U$16,'10 Mos Actual'!$AA$16,#REF!</definedName>
    <definedName name="QB_FORMULA_7" localSheetId="1" hidden="1">'11 Mos Actual'!$AN$14,'11 Mos Actual'!$AR$14,#REF!,#REF!,#REF!,'11 Mos Actual'!$U$15,'11 Mos Actual'!$AA$15,#REF!,#REF!,'11 Mos Actual'!$AM$15,'11 Mos Actual'!$AN$15,'11 Mos Actual'!$AR$15,#REF!,'11 Mos Actual'!$U$16,'11 Mos Actual'!$AA$16,#REF!</definedName>
    <definedName name="QB_FORMULA_70" localSheetId="0" hidden="1">#REF!,#REF!,'10 Mos Actual'!$AM$83,'10 Mos Actual'!$AN$83,'10 Mos Actual'!$AR$83,'10 Mos Actual'!$AS$83,#REF!,#REF!,#REF!,#REF!,#REF!,#REF!,'10 Mos Actual'!$U$84,#REF!,#REF!,#REF!</definedName>
    <definedName name="QB_FORMULA_70" localSheetId="1" hidden="1">#REF!,#REF!,'11 Mos Actual'!$AM$83,'11 Mos Actual'!$AN$83,'11 Mos Actual'!$AR$83,#REF!,#REF!,#REF!,#REF!,#REF!,#REF!,#REF!,'11 Mos Actual'!$U$84,#REF!,#REF!,#REF!</definedName>
    <definedName name="QB_FORMULA_71" localSheetId="0" hidden="1">#REF!,#REF!,#REF!,'10 Mos Actual'!$AA$84,#REF!,#REF!,#REF!,#REF!,#REF!,#REF!,#REF!,'10 Mos Actual'!$AM$84,'10 Mos Actual'!$AN$84,'10 Mos Actual'!$AR$84,'10 Mos Actual'!$AS$84,#REF!</definedName>
    <definedName name="QB_FORMULA_71" localSheetId="1" hidden="1">#REF!,#REF!,#REF!,'11 Mos Actual'!$AA$84,#REF!,#REF!,#REF!,#REF!,#REF!,#REF!,#REF!,'11 Mos Actual'!$AM$84,'11 Mos Actual'!$AN$84,'11 Mos Actual'!$AR$84,#REF!,#REF!</definedName>
    <definedName name="QB_FORMULA_72" localSheetId="0" hidden="1">#REF!,#REF!,#REF!,#REF!,#REF!,'10 Mos Actual'!$U$85,'10 Mos Actual'!$AA$85,#REF!,#REF!,#REF!,#REF!,#REF!,#REF!,#REF!,#REF!,'10 Mos Actual'!$AM$85</definedName>
    <definedName name="QB_FORMULA_72" localSheetId="1" hidden="1">#REF!,#REF!,#REF!,#REF!,#REF!,'11 Mos Actual'!$U$85,'11 Mos Actual'!$AA$85,#REF!,#REF!,#REF!,#REF!,#REF!,#REF!,#REF!,#REF!,'11 Mos Actual'!$AM$85</definedName>
    <definedName name="QB_FORMULA_73" localSheetId="0" hidden="1">'10 Mos Actual'!$AN$85,'10 Mos Actual'!$AR$85,'10 Mos Actual'!$AS$85,#REF!,#REF!,'10 Mos Actual'!$U$86,#REF!,#REF!,#REF!,#REF!,#REF!,#REF!,#REF!,#REF!,#REF!,#REF!</definedName>
    <definedName name="QB_FORMULA_73" localSheetId="1" hidden="1">'11 Mos Actual'!$AN$85,'11 Mos Actual'!$AR$85,#REF!,#REF!,#REF!,'11 Mos Actual'!$U$86,#REF!,#REF!,#REF!,#REF!,#REF!,#REF!,#REF!,#REF!,#REF!,#REF!</definedName>
    <definedName name="QB_FORMULA_74" localSheetId="0" hidden="1">'10 Mos Actual'!$AA$86,#REF!,#REF!,#REF!,#REF!,#REF!,'10 Mos Actual'!$AM$86,'10 Mos Actual'!$AN$86,'10 Mos Actual'!$AR$86,'10 Mos Actual'!$AS$86,#REF!,#REF!,'10 Mos Actual'!$U$87,'10 Mos Actual'!$AA$87,#REF!,#REF!</definedName>
    <definedName name="QB_FORMULA_74" localSheetId="1" hidden="1">'11 Mos Actual'!$AA$86,#REF!,#REF!,#REF!,#REF!,#REF!,'11 Mos Actual'!$AM$86,'11 Mos Actual'!$AN$86,'11 Mos Actual'!$AR$86,#REF!,#REF!,#REF!,'11 Mos Actual'!$U$87,'11 Mos Actual'!$AA$87,#REF!,#REF!</definedName>
    <definedName name="QB_FORMULA_75" localSheetId="0" hidden="1">'10 Mos Actual'!$AM$87,'10 Mos Actual'!$AN$87,'10 Mos Actual'!$AR$87,'10 Mos Actual'!$AS$87,#REF!,#REF!,#REF!,#REF!,'10 Mos Actual'!$U$88,'10 Mos Actual'!$AA$88,#REF!,#REF!,#REF!,#REF!,#REF!,#REF!</definedName>
    <definedName name="QB_FORMULA_75" localSheetId="1" hidden="1">'11 Mos Actual'!$AM$87,'11 Mos Actual'!$AN$87,'11 Mos Actual'!$AR$87,#REF!,#REF!,#REF!,#REF!,#REF!,'11 Mos Actual'!$U$88,'11 Mos Actual'!$AA$88,#REF!,#REF!,#REF!,#REF!,#REF!,#REF!</definedName>
    <definedName name="QB_FORMULA_76" localSheetId="0" hidden="1">'10 Mos Actual'!$AM$88,'10 Mos Actual'!$AN$88,'10 Mos Actual'!$AR$88,'10 Mos Actual'!$AS$88,#REF!,#REF!,'10 Mos Actual'!$U$89,'10 Mos Actual'!$AA$89,#REF!,#REF!,#REF!,#REF!,#REF!,#REF!,'10 Mos Actual'!$AM$89,'10 Mos Actual'!$AN$89</definedName>
    <definedName name="QB_FORMULA_76" localSheetId="1" hidden="1">'11 Mos Actual'!$AM$88,'11 Mos Actual'!$AN$88,'11 Mos Actual'!$AR$88,#REF!,#REF!,#REF!,'11 Mos Actual'!$U$89,'11 Mos Actual'!$AA$89,#REF!,#REF!,#REF!,#REF!,#REF!,#REF!,'11 Mos Actual'!$AM$89,'11 Mos Actual'!$AN$89</definedName>
    <definedName name="QB_FORMULA_77" localSheetId="0" hidden="1">'10 Mos Actual'!$AR$89,'10 Mos Actual'!$AS$89,#REF!,#REF!,#REF!,#REF!,'10 Mos Actual'!$U$90,#REF!,#REF!,#REF!,'10 Mos Actual'!$AA$90,#REF!,#REF!,'10 Mos Actual'!$AM$90,'10 Mos Actual'!$AN$90,'10 Mos Actual'!$AR$90</definedName>
    <definedName name="QB_FORMULA_77" localSheetId="1" hidden="1">'11 Mos Actual'!$AR$89,#REF!,#REF!,#REF!,#REF!,#REF!,'11 Mos Actual'!$U$90,#REF!,#REF!,#REF!,'11 Mos Actual'!$AA$90,#REF!,#REF!,'11 Mos Actual'!$AM$90,'11 Mos Actual'!$AN$90,'11 Mos Actual'!$AR$90</definedName>
    <definedName name="QB_FORMULA_78" localSheetId="0" hidden="1">'10 Mos Actual'!$AS$90,'10 Mos Actual'!$U$91,#REF!,#REF!,#REF!,#REF!,#REF!,#REF!,#REF!,#REF!,#REF!,#REF!,'10 Mos Actual'!$AA$91,#REF!,#REF!,#REF!</definedName>
    <definedName name="QB_FORMULA_78" localSheetId="1" hidden="1">#REF!,'11 Mos Actual'!$U$91,#REF!,#REF!,#REF!,#REF!,#REF!,#REF!,#REF!,#REF!,#REF!,#REF!,'11 Mos Actual'!$AA$91,#REF!,#REF!,#REF!</definedName>
    <definedName name="QB_FORMULA_79" localSheetId="0" hidden="1">#REF!,#REF!,'10 Mos Actual'!$AM$91,'10 Mos Actual'!$AN$91,'10 Mos Actual'!$AR$91,'10 Mos Actual'!$AS$91,#REF!,#REF!,'10 Mos Actual'!$U$92,'10 Mos Actual'!$AA$92,#REF!,#REF!,'10 Mos Actual'!$AM$92,'10 Mos Actual'!$AN$92,'10 Mos Actual'!$AR$92,'10 Mos Actual'!$AS$92</definedName>
    <definedName name="QB_FORMULA_79" localSheetId="1" hidden="1">#REF!,#REF!,'11 Mos Actual'!$AM$91,'11 Mos Actual'!$AN$91,'11 Mos Actual'!$AR$91,#REF!,#REF!,#REF!,'11 Mos Actual'!$U$92,'11 Mos Actual'!$AA$92,#REF!,#REF!,'11 Mos Actual'!$AM$92,'11 Mos Actual'!$AN$92,'11 Mos Actual'!$AR$92,#REF!</definedName>
    <definedName name="QB_FORMULA_8" localSheetId="0" hidden="1">#REF!,'10 Mos Actual'!$AM$16,'10 Mos Actual'!$AN$16,'10 Mos Actual'!$AR$16,'10 Mos Actual'!$AS$16,#REF!,#REF!,'10 Mos Actual'!$U$17,'10 Mos Actual'!$AA$17,#REF!,#REF!,'10 Mos Actual'!$AM$17,'10 Mos Actual'!$AN$17,'10 Mos Actual'!$AR$17,'10 Mos Actual'!$AS$17,'10 Mos Actual'!$U$18</definedName>
    <definedName name="QB_FORMULA_8" localSheetId="1" hidden="1">#REF!,'11 Mos Actual'!$AM$16,'11 Mos Actual'!$AN$16,'11 Mos Actual'!$AR$16,#REF!,#REF!,#REF!,'11 Mos Actual'!$U$17,'11 Mos Actual'!$AA$17,#REF!,#REF!,'11 Mos Actual'!$AM$17,'11 Mos Actual'!$AN$17,'11 Mos Actual'!$AR$17,#REF!,'11 Mos Actual'!$U$18</definedName>
    <definedName name="QB_FORMULA_80" localSheetId="0" hidden="1">#REF!,#REF!,'10 Mos Actual'!$U$93,'10 Mos Actual'!$AA$93,#REF!,#REF!,#REF!,#REF!,#REF!,#REF!,'10 Mos Actual'!$AM$93,'10 Mos Actual'!$AN$93,'10 Mos Actual'!$AR$93,'10 Mos Actual'!$AS$93,'10 Mos Actual'!$U$94,'10 Mos Actual'!$AA$94</definedName>
    <definedName name="QB_FORMULA_80" localSheetId="1" hidden="1">#REF!,#REF!,'11 Mos Actual'!$U$93,'11 Mos Actual'!$AA$93,#REF!,#REF!,#REF!,#REF!,#REF!,#REF!,'11 Mos Actual'!$AM$93,'11 Mos Actual'!$AN$93,'11 Mos Actual'!$AR$93,#REF!,'11 Mos Actual'!$U$94,'11 Mos Actual'!$AA$94</definedName>
    <definedName name="QB_FORMULA_81" localSheetId="0" hidden="1">#REF!,#REF!,#REF!,#REF!,'10 Mos Actual'!$AM$94,'10 Mos Actual'!$AN$94,'10 Mos Actual'!$AR$94,'10 Mos Actual'!$AS$94,#REF!,#REF!,#REF!,#REF!,#REF!,#REF!,#REF!,#REF!</definedName>
    <definedName name="QB_FORMULA_81" localSheetId="1" hidden="1">#REF!,#REF!,#REF!,#REF!,'11 Mos Actual'!$AM$94,'11 Mos Actual'!$AN$94,'11 Mos Actual'!$AR$94,#REF!,#REF!,#REF!,#REF!,#REF!,#REF!,#REF!,#REF!,#REF!</definedName>
    <definedName name="QB_FORMULA_82" localSheetId="0" hidden="1">#REF!,#REF!,#REF!,#REF!,#REF!,#REF!,'10 Mos Actual'!$U$95,#REF!,#REF!,#REF!,#REF!,#REF!,#REF!,#REF!,#REF!,#REF!</definedName>
    <definedName name="QB_FORMULA_82" localSheetId="1" hidden="1">#REF!,#REF!,#REF!,#REF!,#REF!,#REF!,'11 Mos Actual'!$U$95,#REF!,#REF!,#REF!,#REF!,#REF!,#REF!,#REF!,#REF!,#REF!</definedName>
    <definedName name="QB_FORMULA_83" localSheetId="0" hidden="1">#REF!,#REF!,#REF!,#REF!,'10 Mos Actual'!$AA$95,#REF!,#REF!,#REF!,#REF!,#REF!,#REF!,#REF!,#REF!,#REF!,#REF!,#REF!</definedName>
    <definedName name="QB_FORMULA_83" localSheetId="1" hidden="1">#REF!,#REF!,#REF!,#REF!,'11 Mos Actual'!$AA$95,#REF!,#REF!,#REF!,#REF!,#REF!,#REF!,#REF!,#REF!,#REF!,#REF!,#REF!</definedName>
    <definedName name="QB_FORMULA_84" localSheetId="0" hidden="1">#REF!,#REF!,'10 Mos Actual'!$AM$95,'10 Mos Actual'!$AN$95,'10 Mos Actual'!$AR$95,'10 Mos Actual'!$AS$95,#REF!,#REF!,#REF!,#REF!,#REF!,#REF!,#REF!,#REF!,'10 Mos Actual'!$U$96,#REF!</definedName>
    <definedName name="QB_FORMULA_84" localSheetId="1" hidden="1">#REF!,#REF!,'11 Mos Actual'!$AM$95,'11 Mos Actual'!$AN$95,'11 Mos Actual'!$AR$95,#REF!,#REF!,#REF!,#REF!,#REF!,#REF!,#REF!,#REF!,#REF!,'11 Mos Actual'!$U$96,#REF!</definedName>
    <definedName name="QB_FORMULA_85" localSheetId="0" hidden="1">#REF!,#REF!,#REF!,#REF!,#REF!,#REF!,#REF!,#REF!,#REF!,#REF!,#REF!,#REF!,'10 Mos Actual'!$AA$96,#REF!,#REF!,#REF!</definedName>
    <definedName name="QB_FORMULA_85" localSheetId="1" hidden="1">#REF!,#REF!,#REF!,#REF!,#REF!,#REF!,#REF!,#REF!,#REF!,#REF!,#REF!,#REF!,'11 Mos Actual'!$AA$96,#REF!,#REF!,#REF!</definedName>
    <definedName name="QB_FORMULA_86" localSheetId="0" hidden="1">#REF!,#REF!,#REF!,#REF!,#REF!,#REF!,#REF!,#REF!,#REF!,#REF!,'10 Mos Actual'!$AM$96,'10 Mos Actual'!$AN$96,'10 Mos Actual'!$AR$96,'10 Mos Actual'!$AS$96,#REF!,#REF!</definedName>
    <definedName name="QB_FORMULA_86" localSheetId="1" hidden="1">#REF!,#REF!,#REF!,#REF!,#REF!,#REF!,#REF!,#REF!,#REF!,#REF!,'11 Mos Actual'!$AM$96,'11 Mos Actual'!$AN$96,'11 Mos Actual'!$AR$96,#REF!,#REF!,#REF!</definedName>
    <definedName name="QB_FORMULA_87" localSheetId="0" hidden="1">'10 Mos Actual'!$U$97,'10 Mos Actual'!$AA$97,#REF!,#REF!,'10 Mos Actual'!$AM$97,'10 Mos Actual'!$AN$97,'10 Mos Actual'!$AR$97,'10 Mos Actual'!$AS$97,#REF!,#REF!,#REF!,#REF!,#REF!,#REF!,#REF!,#REF!</definedName>
    <definedName name="QB_FORMULA_87" localSheetId="1" hidden="1">'11 Mos Actual'!$U$97,'11 Mos Actual'!$AA$97,#REF!,#REF!,'11 Mos Actual'!$AM$97,'11 Mos Actual'!$AN$97,'11 Mos Actual'!$AR$97,#REF!,#REF!,#REF!,#REF!,#REF!,#REF!,#REF!,#REF!,#REF!</definedName>
    <definedName name="QB_FORMULA_88" localSheetId="0" hidden="1">'10 Mos Actual'!$U$98,#REF!,#REF!,#REF!,#REF!,#REF!,#REF!,#REF!,#REF!,#REF!,#REF!,#REF!,#REF!,#REF!,'10 Mos Actual'!$AA$98,#REF!</definedName>
    <definedName name="QB_FORMULA_88" localSheetId="1" hidden="1">'11 Mos Actual'!$U$98,#REF!,#REF!,#REF!,#REF!,#REF!,#REF!,#REF!,#REF!,#REF!,#REF!,#REF!,#REF!,#REF!,'11 Mos Actual'!$AA$98,#REF!</definedName>
    <definedName name="QB_FORMULA_89" localSheetId="0" hidden="1">#REF!,#REF!,#REF!,#REF!,'10 Mos Actual'!$AM$98,'10 Mos Actual'!$AN$98,'10 Mos Actual'!$AR$98,'10 Mos Actual'!$AS$98,#REF!,#REF!,#REF!,#REF!,#REF!,#REF!,#REF!,#REF!</definedName>
    <definedName name="QB_FORMULA_89" localSheetId="1" hidden="1">#REF!,#REF!,#REF!,#REF!,'11 Mos Actual'!$AM$98,'11 Mos Actual'!$AN$98,'11 Mos Actual'!$AR$98,#REF!,#REF!,#REF!,#REF!,#REF!,#REF!,#REF!,#REF!,#REF!</definedName>
    <definedName name="QB_FORMULA_9" localSheetId="0" hidden="1">'10 Mos Actual'!$AA$18,#REF!,#REF!,'10 Mos Actual'!$AM$18,'10 Mos Actual'!$AN$18,'10 Mos Actual'!$AR$18,'10 Mos Actual'!$AS$18,'10 Mos Actual'!$U$19,'10 Mos Actual'!$AA$19,#REF!,#REF!,#REF!,#REF!,'10 Mos Actual'!$AM$19,'10 Mos Actual'!$AN$19,'10 Mos Actual'!$AR$19</definedName>
    <definedName name="QB_FORMULA_9" localSheetId="1" hidden="1">'11 Mos Actual'!$AA$18,#REF!,#REF!,'11 Mos Actual'!$AM$18,'11 Mos Actual'!$AN$18,'11 Mos Actual'!$AR$18,#REF!,'11 Mos Actual'!$U$19,'11 Mos Actual'!$AA$19,#REF!,#REF!,#REF!,#REF!,'11 Mos Actual'!$AM$19,'11 Mos Actual'!$AN$19,'11 Mos Actual'!$AR$19</definedName>
    <definedName name="QB_FORMULA_90" localSheetId="0" hidden="1">#REF!,#REF!,'10 Mos Actual'!$U$99,#REF!,#REF!,#REF!,#REF!,#REF!,#REF!,#REF!,#REF!,#REF!,#REF!,'10 Mos Actual'!$AA$99,#REF!,#REF!</definedName>
    <definedName name="QB_FORMULA_90" localSheetId="1" hidden="1">#REF!,#REF!,'11 Mos Actual'!$U$99,#REF!,#REF!,#REF!,#REF!,#REF!,#REF!,#REF!,#REF!,#REF!,#REF!,'11 Mos Actual'!$AA$99,#REF!,#REF!</definedName>
    <definedName name="QB_FORMULA_91" localSheetId="0" hidden="1">#REF!,#REF!,#REF!,#REF!,#REF!,#REF!,#REF!,#REF!,#REF!,#REF!,#REF!,'10 Mos Actual'!$AM$99,'10 Mos Actual'!$AN$99,'10 Mos Actual'!$AR$99,'10 Mos Actual'!$AS$99,#REF!</definedName>
    <definedName name="QB_FORMULA_91" localSheetId="1" hidden="1">#REF!,#REF!,#REF!,#REF!,#REF!,#REF!,#REF!,#REF!,#REF!,#REF!,#REF!,'11 Mos Actual'!$AM$99,'11 Mos Actual'!$AN$99,'11 Mos Actual'!$AR$99,#REF!,#REF!</definedName>
    <definedName name="QB_FORMULA_92" localSheetId="0" hidden="1">#REF!,'10 Mos Actual'!$U$100,'10 Mos Actual'!$AA$100,#REF!,#REF!,'10 Mos Actual'!$AM$100,'10 Mos Actual'!$AN$100,'10 Mos Actual'!$AR$100,'10 Mos Actual'!$AS$100,#REF!,#REF!,'10 Mos Actual'!$U$101,'10 Mos Actual'!$AA$101,#REF!,#REF!,'10 Mos Actual'!$AM$101</definedName>
    <definedName name="QB_FORMULA_92" localSheetId="1" hidden="1">#REF!,'11 Mos Actual'!$U$100,'11 Mos Actual'!$AA$100,#REF!,#REF!,'11 Mos Actual'!$AM$100,'11 Mos Actual'!$AN$100,'11 Mos Actual'!$AR$100,#REF!,#REF!,#REF!,'11 Mos Actual'!$U$101,'11 Mos Actual'!$AA$101,#REF!,#REF!,'11 Mos Actual'!$AM$101</definedName>
    <definedName name="QB_FORMULA_93" localSheetId="0" hidden="1">'10 Mos Actual'!$AN$101,'10 Mos Actual'!$AR$101,'10 Mos Actual'!$AS$101,#REF!,#REF!,'10 Mos Actual'!$U$102,'10 Mos Actual'!$AA$102,#REF!,#REF!,'10 Mos Actual'!$AM$102,'10 Mos Actual'!$AN$102,'10 Mos Actual'!$AR$102,'10 Mos Actual'!$AS$102,#REF!,#REF!,'10 Mos Actual'!$U$103</definedName>
    <definedName name="QB_FORMULA_93" localSheetId="1" hidden="1">'11 Mos Actual'!$AN$101,'11 Mos Actual'!$AR$101,#REF!,#REF!,#REF!,'11 Mos Actual'!$U$102,'11 Mos Actual'!$AA$102,#REF!,#REF!,'11 Mos Actual'!$AM$102,'11 Mos Actual'!$AN$102,'11 Mos Actual'!$AR$102,#REF!,#REF!,#REF!,'11 Mos Actual'!$U$103</definedName>
    <definedName name="QB_FORMULA_94" localSheetId="0" hidden="1">'10 Mos Actual'!$AA$103,#REF!,#REF!,'10 Mos Actual'!$AM$103,'10 Mos Actual'!$AN$103,'10 Mos Actual'!$AR$103,'10 Mos Actual'!$AS$103,#REF!,#REF!,#REF!,#REF!,#REF!,#REF!,#REF!,#REF!,#REF!</definedName>
    <definedName name="QB_FORMULA_94" localSheetId="1" hidden="1">'11 Mos Actual'!$AA$103,#REF!,#REF!,'11 Mos Actual'!$AM$103,'11 Mos Actual'!$AN$103,'11 Mos Actual'!$AR$103,#REF!,#REF!,#REF!,#REF!,#REF!,#REF!,#REF!,#REF!,#REF!,#REF!</definedName>
    <definedName name="QB_FORMULA_95" localSheetId="0" hidden="1">#REF!,#REF!,#REF!,'10 Mos Actual'!$U$104,'10 Mos Actual'!$AA$104,#REF!,#REF!,#REF!,#REF!,#REF!,#REF!,#REF!,#REF!,#REF!,#REF!,'10 Mos Actual'!$AM$104</definedName>
    <definedName name="QB_FORMULA_95" localSheetId="1" hidden="1">#REF!,#REF!,#REF!,'11 Mos Actual'!$U$104,'11 Mos Actual'!$AA$104,#REF!,#REF!,#REF!,#REF!,#REF!,#REF!,#REF!,#REF!,#REF!,#REF!,'11 Mos Actual'!$AM$104</definedName>
    <definedName name="QB_FORMULA_96" localSheetId="0" hidden="1">'10 Mos Actual'!$AN$104,'10 Mos Actual'!$AR$104,'10 Mos Actual'!$AS$104,#REF!,#REF!,#REF!,#REF!,#REF!,#REF!,'10 Mos Actual'!$U$105,#REF!,#REF!,#REF!,#REF!,#REF!,#REF!</definedName>
    <definedName name="QB_FORMULA_96" localSheetId="1" hidden="1">'11 Mos Actual'!$AN$104,'11 Mos Actual'!$AR$104,#REF!,#REF!,#REF!,#REF!,#REF!,#REF!,#REF!,'11 Mos Actual'!$U$105,#REF!,#REF!,#REF!,#REF!,#REF!,#REF!</definedName>
    <definedName name="QB_FORMULA_97" localSheetId="0" hidden="1">#REF!,'10 Mos Actual'!$AA$105,#REF!,#REF!,#REF!,#REF!,#REF!,'10 Mos Actual'!$AM$105,'10 Mos Actual'!$AN$105,'10 Mos Actual'!$AR$105,'10 Mos Actual'!$AS$105,'10 Mos Actual'!$U$106,'10 Mos Actual'!$AA$106,#REF!,#REF!,'10 Mos Actual'!$AM$106</definedName>
    <definedName name="QB_FORMULA_97" localSheetId="1" hidden="1">#REF!,'11 Mos Actual'!$AA$105,#REF!,#REF!,#REF!,#REF!,#REF!,'11 Mos Actual'!$AM$105,'11 Mos Actual'!$AN$105,'11 Mos Actual'!$AR$105,#REF!,'11 Mos Actual'!$U$106,'11 Mos Actual'!$AA$106,#REF!,#REF!,'11 Mos Actual'!$AM$106</definedName>
    <definedName name="QB_FORMULA_98" localSheetId="0" hidden="1">'10 Mos Actual'!$AN$106,'10 Mos Actual'!$AR$106,'10 Mos Actual'!$AS$106,#REF!,#REF!,'10 Mos Actual'!$U$107,'10 Mos Actual'!$AA$107,#REF!,#REF!,#REF!,#REF!,#REF!,#REF!,'10 Mos Actual'!$AM$107,'10 Mos Actual'!$AN$107,'10 Mos Actual'!$AR$107</definedName>
    <definedName name="QB_FORMULA_98" localSheetId="1" hidden="1">'11 Mos Actual'!$AN$106,'11 Mos Actual'!$AR$106,#REF!,#REF!,#REF!,'11 Mos Actual'!$U$107,'11 Mos Actual'!$AA$107,#REF!,#REF!,#REF!,#REF!,#REF!,#REF!,'11 Mos Actual'!$AM$107,'11 Mos Actual'!$AN$107,'11 Mos Actual'!$AR$107</definedName>
    <definedName name="QB_FORMULA_99" localSheetId="0" hidden="1">'10 Mos Actual'!$AS$107,#REF!,#REF!,'10 Mos Actual'!$U$108,'10 Mos Actual'!$AA$108,#REF!,#REF!,'10 Mos Actual'!$AM$108,'10 Mos Actual'!$AN$108,'10 Mos Actual'!$AR$108,'10 Mos Actual'!$AS$108,#REF!,#REF!,'10 Mos Actual'!$U$109,'10 Mos Actual'!$AA$109,#REF!</definedName>
    <definedName name="QB_FORMULA_99" localSheetId="1" hidden="1">#REF!,#REF!,#REF!,'11 Mos Actual'!$U$108,'11 Mos Actual'!$AA$108,#REF!,#REF!,'11 Mos Actual'!$AM$108,'11 Mos Actual'!$AN$108,'11 Mos Actual'!$AR$108,#REF!,#REF!,#REF!,'11 Mos Actual'!$U$109,'11 Mos Actual'!$AA$109,#REF!</definedName>
    <definedName name="QB_ROW_145230" localSheetId="0" hidden="1">'10 Mos Actual'!$D$7</definedName>
    <definedName name="QB_ROW_145230" localSheetId="1" hidden="1">'11 Mos Actual'!$D$7</definedName>
    <definedName name="QB_ROW_147230" localSheetId="0" hidden="1">'10 Mos Actual'!$D$8</definedName>
    <definedName name="QB_ROW_147230" localSheetId="1" hidden="1">'11 Mos Actual'!$D$8</definedName>
    <definedName name="QB_ROW_148230" localSheetId="0" hidden="1">'10 Mos Actual'!$D$9</definedName>
    <definedName name="QB_ROW_148230" localSheetId="1" hidden="1">'11 Mos Actual'!$D$9</definedName>
    <definedName name="QB_ROW_149230" localSheetId="0" hidden="1">'10 Mos Actual'!$D$10</definedName>
    <definedName name="QB_ROW_149230" localSheetId="1" hidden="1">'11 Mos Actual'!$D$10</definedName>
    <definedName name="QB_ROW_150230" localSheetId="0" hidden="1">'10 Mos Actual'!$D$13</definedName>
    <definedName name="QB_ROW_150230" localSheetId="1" hidden="1">'11 Mos Actual'!$D$13</definedName>
    <definedName name="QB_ROW_151230" localSheetId="0" hidden="1">'10 Mos Actual'!$D$11</definedName>
    <definedName name="QB_ROW_151230" localSheetId="1" hidden="1">'11 Mos Actual'!$D$11</definedName>
    <definedName name="QB_ROW_152230" localSheetId="0" hidden="1">'10 Mos Actual'!$D$12</definedName>
    <definedName name="QB_ROW_152230" localSheetId="1" hidden="1">'11 Mos Actual'!$D$12</definedName>
    <definedName name="QB_ROW_16230" localSheetId="0" hidden="1">'10 Mos Actual'!$D$30</definedName>
    <definedName name="QB_ROW_16230" localSheetId="1" hidden="1">'11 Mos Actual'!$D$30</definedName>
    <definedName name="QB_ROW_163230" localSheetId="0" hidden="1">'10 Mos Actual'!$D$39</definedName>
    <definedName name="QB_ROW_163230" localSheetId="1" hidden="1">'11 Mos Actual'!$D$39</definedName>
    <definedName name="QB_ROW_168230" localSheetId="0" hidden="1">'10 Mos Actual'!$D$40</definedName>
    <definedName name="QB_ROW_168230" localSheetId="1" hidden="1">'11 Mos Actual'!$D$40</definedName>
    <definedName name="QB_ROW_169230" localSheetId="0" hidden="1">'10 Mos Actual'!$D$41</definedName>
    <definedName name="QB_ROW_169230" localSheetId="1" hidden="1">'11 Mos Actual'!$D$41</definedName>
    <definedName name="QB_ROW_18301" localSheetId="0" hidden="1">'10 Mos Actual'!$C$114</definedName>
    <definedName name="QB_ROW_18301" localSheetId="1" hidden="1">'11 Mos Actual'!$C$114</definedName>
    <definedName name="QB_ROW_184230" localSheetId="0" hidden="1">#REF!</definedName>
    <definedName name="QB_ROW_184230" localSheetId="1" hidden="1">#REF!</definedName>
    <definedName name="QB_ROW_186230" localSheetId="0" hidden="1">'10 Mos Actual'!$D$46</definedName>
    <definedName name="QB_ROW_186230" localSheetId="1" hidden="1">'11 Mos Actual'!$D$46</definedName>
    <definedName name="QB_ROW_187230" localSheetId="0" hidden="1">'10 Mos Actual'!$D$48</definedName>
    <definedName name="QB_ROW_187230" localSheetId="1" hidden="1">'11 Mos Actual'!$D$48</definedName>
    <definedName name="QB_ROW_188230" localSheetId="0" hidden="1">'10 Mos Actual'!$D$49</definedName>
    <definedName name="QB_ROW_188230" localSheetId="1" hidden="1">'11 Mos Actual'!$D$49</definedName>
    <definedName name="QB_ROW_190230" localSheetId="0" hidden="1">'10 Mos Actual'!$D$50</definedName>
    <definedName name="QB_ROW_190230" localSheetId="1" hidden="1">'11 Mos Actual'!$D$50</definedName>
    <definedName name="QB_ROW_191230" localSheetId="0" hidden="1">'10 Mos Actual'!$D$51</definedName>
    <definedName name="QB_ROW_191230" localSheetId="1" hidden="1">'11 Mos Actual'!$D$51</definedName>
    <definedName name="QB_ROW_192230" localSheetId="0" hidden="1">'10 Mos Actual'!$D$52</definedName>
    <definedName name="QB_ROW_192230" localSheetId="1" hidden="1">'11 Mos Actual'!$D$52</definedName>
    <definedName name="QB_ROW_195230" localSheetId="0" hidden="1">'10 Mos Actual'!$D$53</definedName>
    <definedName name="QB_ROW_195230" localSheetId="1" hidden="1">'11 Mos Actual'!$D$53</definedName>
    <definedName name="QB_ROW_196230" localSheetId="0" hidden="1">'10 Mos Actual'!$D$54</definedName>
    <definedName name="QB_ROW_196230" localSheetId="1" hidden="1">'11 Mos Actual'!$D$54</definedName>
    <definedName name="QB_ROW_20022" localSheetId="0" hidden="1">'10 Mos Actual'!$C$5</definedName>
    <definedName name="QB_ROW_20022" localSheetId="1" hidden="1">'11 Mos Actual'!$C$5</definedName>
    <definedName name="QB_ROW_20322" localSheetId="0" hidden="1">'10 Mos Actual'!$C$37</definedName>
    <definedName name="QB_ROW_20322" localSheetId="1" hidden="1">'11 Mos Actual'!$C$37</definedName>
    <definedName name="QB_ROW_203230" localSheetId="0" hidden="1">'10 Mos Actual'!$D$55</definedName>
    <definedName name="QB_ROW_203230" localSheetId="1" hidden="1">'11 Mos Actual'!$D$55</definedName>
    <definedName name="QB_ROW_204230" localSheetId="0" hidden="1">'10 Mos Actual'!$D$56</definedName>
    <definedName name="QB_ROW_204230" localSheetId="1" hidden="1">'11 Mos Actual'!$D$56</definedName>
    <definedName name="QB_ROW_205230" localSheetId="0" hidden="1">'10 Mos Actual'!$D$57</definedName>
    <definedName name="QB_ROW_205230" localSheetId="1" hidden="1">'11 Mos Actual'!$D$57</definedName>
    <definedName name="QB_ROW_206230" localSheetId="0" hidden="1">'10 Mos Actual'!$D$58</definedName>
    <definedName name="QB_ROW_206230" localSheetId="1" hidden="1">'11 Mos Actual'!$D$58</definedName>
    <definedName name="QB_ROW_207230" localSheetId="0" hidden="1">'10 Mos Actual'!$D$59</definedName>
    <definedName name="QB_ROW_207230" localSheetId="1" hidden="1">'11 Mos Actual'!$D$59</definedName>
    <definedName name="QB_ROW_208230" localSheetId="0" hidden="1">'10 Mos Actual'!$D$60</definedName>
    <definedName name="QB_ROW_208230" localSheetId="1" hidden="1">'11 Mos Actual'!$D$60</definedName>
    <definedName name="QB_ROW_209230" localSheetId="0" hidden="1">'10 Mos Actual'!$D$61</definedName>
    <definedName name="QB_ROW_209230" localSheetId="1" hidden="1">'11 Mos Actual'!$D$61</definedName>
    <definedName name="QB_ROW_21022" localSheetId="0" hidden="1">'10 Mos Actual'!$C$44</definedName>
    <definedName name="QB_ROW_21022" localSheetId="1" hidden="1">'11 Mos Actual'!$C$44</definedName>
    <definedName name="QB_ROW_210230" localSheetId="0" hidden="1">'10 Mos Actual'!$D$62</definedName>
    <definedName name="QB_ROW_210230" localSheetId="1" hidden="1">'11 Mos Actual'!$D$62</definedName>
    <definedName name="QB_ROW_211230" localSheetId="0" hidden="1">'10 Mos Actual'!$D$63</definedName>
    <definedName name="QB_ROW_211230" localSheetId="1" hidden="1">'11 Mos Actual'!$D$63</definedName>
    <definedName name="QB_ROW_212230" localSheetId="0" hidden="1">'10 Mos Actual'!$D$64</definedName>
    <definedName name="QB_ROW_212230" localSheetId="1" hidden="1">'11 Mos Actual'!$D$64</definedName>
    <definedName name="QB_ROW_21322" localSheetId="0" hidden="1">'10 Mos Actual'!$C$113</definedName>
    <definedName name="QB_ROW_21322" localSheetId="1" hidden="1">'11 Mos Actual'!$C$113</definedName>
    <definedName name="QB_ROW_213230" localSheetId="0" hidden="1">'10 Mos Actual'!$D$65</definedName>
    <definedName name="QB_ROW_213230" localSheetId="1" hidden="1">'11 Mos Actual'!$D$65</definedName>
    <definedName name="QB_ROW_214230" localSheetId="0" hidden="1">'10 Mos Actual'!$D$66</definedName>
    <definedName name="QB_ROW_214230" localSheetId="1" hidden="1">'11 Mos Actual'!$D$66</definedName>
    <definedName name="QB_ROW_215230" localSheetId="0" hidden="1">'10 Mos Actual'!$D$67</definedName>
    <definedName name="QB_ROW_215230" localSheetId="1" hidden="1">'11 Mos Actual'!$D$67</definedName>
    <definedName name="QB_ROW_216230" localSheetId="0" hidden="1">'10 Mos Actual'!$D$68</definedName>
    <definedName name="QB_ROW_216230" localSheetId="1" hidden="1">'11 Mos Actual'!$D$68</definedName>
    <definedName name="QB_ROW_217230" localSheetId="0" hidden="1">'10 Mos Actual'!$D$69</definedName>
    <definedName name="QB_ROW_217230" localSheetId="1" hidden="1">'11 Mos Actual'!$D$69</definedName>
    <definedName name="QB_ROW_218230" localSheetId="0" hidden="1">'10 Mos Actual'!$D$70</definedName>
    <definedName name="QB_ROW_218230" localSheetId="1" hidden="1">'11 Mos Actual'!$D$70</definedName>
    <definedName name="QB_ROW_220230" localSheetId="0" hidden="1">'10 Mos Actual'!$D$71</definedName>
    <definedName name="QB_ROW_220230" localSheetId="1" hidden="1">'11 Mos Actual'!$D$71</definedName>
    <definedName name="QB_ROW_221230" localSheetId="0" hidden="1">'10 Mos Actual'!$D$72</definedName>
    <definedName name="QB_ROW_221230" localSheetId="1" hidden="1">'11 Mos Actual'!$D$72</definedName>
    <definedName name="QB_ROW_222230" localSheetId="0" hidden="1">'10 Mos Actual'!$D$73</definedName>
    <definedName name="QB_ROW_222230" localSheetId="1" hidden="1">'11 Mos Actual'!$D$73</definedName>
    <definedName name="QB_ROW_224230" localSheetId="0" hidden="1">'10 Mos Actual'!$D$74</definedName>
    <definedName name="QB_ROW_224230" localSheetId="1" hidden="1">'11 Mos Actual'!$D$74</definedName>
    <definedName name="QB_ROW_225230" localSheetId="0" hidden="1">'10 Mos Actual'!$D$76</definedName>
    <definedName name="QB_ROW_225230" localSheetId="1" hidden="1">'11 Mos Actual'!$D$76</definedName>
    <definedName name="QB_ROW_226230" localSheetId="0" hidden="1">'10 Mos Actual'!$D$77</definedName>
    <definedName name="QB_ROW_226230" localSheetId="1" hidden="1">'11 Mos Actual'!$D$77</definedName>
    <definedName name="QB_ROW_227230" localSheetId="0" hidden="1">'10 Mos Actual'!$D$78</definedName>
    <definedName name="QB_ROW_227230" localSheetId="1" hidden="1">'11 Mos Actual'!$D$78</definedName>
    <definedName name="QB_ROW_228230" localSheetId="0" hidden="1">'10 Mos Actual'!$D$79</definedName>
    <definedName name="QB_ROW_228230" localSheetId="1" hidden="1">'11 Mos Actual'!$D$79</definedName>
    <definedName name="QB_ROW_229230" localSheetId="0" hidden="1">'10 Mos Actual'!$D$80</definedName>
    <definedName name="QB_ROW_229230" localSheetId="1" hidden="1">'11 Mos Actual'!$D$80</definedName>
    <definedName name="QB_ROW_230230" localSheetId="0" hidden="1">'10 Mos Actual'!$D$81</definedName>
    <definedName name="QB_ROW_230230" localSheetId="1" hidden="1">'11 Mos Actual'!$D$81</definedName>
    <definedName name="QB_ROW_231230" localSheetId="0" hidden="1">'10 Mos Actual'!$D$82</definedName>
    <definedName name="QB_ROW_231230" localSheetId="1" hidden="1">'11 Mos Actual'!$D$82</definedName>
    <definedName name="QB_ROW_232230" localSheetId="0" hidden="1">'10 Mos Actual'!$D$83</definedName>
    <definedName name="QB_ROW_232230" localSheetId="1" hidden="1">'11 Mos Actual'!$D$83</definedName>
    <definedName name="QB_ROW_233230" localSheetId="0" hidden="1">'10 Mos Actual'!$D$84</definedName>
    <definedName name="QB_ROW_233230" localSheetId="1" hidden="1">'11 Mos Actual'!$D$84</definedName>
    <definedName name="QB_ROW_234230" localSheetId="0" hidden="1">'10 Mos Actual'!$D$85</definedName>
    <definedName name="QB_ROW_234230" localSheetId="1" hidden="1">'11 Mos Actual'!$D$85</definedName>
    <definedName name="QB_ROW_235230" localSheetId="0" hidden="1">'10 Mos Actual'!$D$86</definedName>
    <definedName name="QB_ROW_235230" localSheetId="1" hidden="1">'11 Mos Actual'!$D$86</definedName>
    <definedName name="QB_ROW_239230" localSheetId="0" hidden="1">'10 Mos Actual'!$D$88</definedName>
    <definedName name="QB_ROW_239230" localSheetId="1" hidden="1">'11 Mos Actual'!$D$88</definedName>
    <definedName name="QB_ROW_240230" localSheetId="0" hidden="1">'10 Mos Actual'!$D$89</definedName>
    <definedName name="QB_ROW_240230" localSheetId="1" hidden="1">'11 Mos Actual'!$D$89</definedName>
    <definedName name="QB_ROW_241230" localSheetId="0" hidden="1">'10 Mos Actual'!$D$90</definedName>
    <definedName name="QB_ROW_241230" localSheetId="1" hidden="1">'11 Mos Actual'!$D$90</definedName>
    <definedName name="QB_ROW_242230" localSheetId="0" hidden="1">'10 Mos Actual'!$D$92</definedName>
    <definedName name="QB_ROW_242230" localSheetId="1" hidden="1">'11 Mos Actual'!$D$92</definedName>
    <definedName name="QB_ROW_243230" localSheetId="0" hidden="1">'10 Mos Actual'!$D$93</definedName>
    <definedName name="QB_ROW_243230" localSheetId="1" hidden="1">'11 Mos Actual'!$D$93</definedName>
    <definedName name="QB_ROW_245230" localSheetId="0" hidden="1">'10 Mos Actual'!$D$94</definedName>
    <definedName name="QB_ROW_245230" localSheetId="1" hidden="1">'11 Mos Actual'!$D$94</definedName>
    <definedName name="QB_ROW_246230" localSheetId="0" hidden="1">'10 Mos Actual'!$D$95</definedName>
    <definedName name="QB_ROW_246230" localSheetId="1" hidden="1">'11 Mos Actual'!$D$95</definedName>
    <definedName name="QB_ROW_247230" localSheetId="0" hidden="1">'10 Mos Actual'!$D$96</definedName>
    <definedName name="QB_ROW_247230" localSheetId="1" hidden="1">'11 Mos Actual'!$D$96</definedName>
    <definedName name="QB_ROW_248230" localSheetId="0" hidden="1">'10 Mos Actual'!$D$97</definedName>
    <definedName name="QB_ROW_248230" localSheetId="1" hidden="1">'11 Mos Actual'!$D$97</definedName>
    <definedName name="QB_ROW_249230" localSheetId="0" hidden="1">'10 Mos Actual'!$D$98</definedName>
    <definedName name="QB_ROW_249230" localSheetId="1" hidden="1">'11 Mos Actual'!$D$98</definedName>
    <definedName name="QB_ROW_250230" localSheetId="0" hidden="1">'10 Mos Actual'!$D$99</definedName>
    <definedName name="QB_ROW_250230" localSheetId="1" hidden="1">'11 Mos Actual'!$D$99</definedName>
    <definedName name="QB_ROW_252230" localSheetId="0" hidden="1">'10 Mos Actual'!$D$100</definedName>
    <definedName name="QB_ROW_252230" localSheetId="1" hidden="1">'11 Mos Actual'!$D$100</definedName>
    <definedName name="QB_ROW_253230" localSheetId="0" hidden="1">'10 Mos Actual'!$D$101</definedName>
    <definedName name="QB_ROW_253230" localSheetId="1" hidden="1">'11 Mos Actual'!$D$101</definedName>
    <definedName name="QB_ROW_254230" localSheetId="0" hidden="1">'10 Mos Actual'!$D$102</definedName>
    <definedName name="QB_ROW_254230" localSheetId="1" hidden="1">'11 Mos Actual'!$D$102</definedName>
    <definedName name="QB_ROW_255230" localSheetId="0" hidden="1">'10 Mos Actual'!$D$103</definedName>
    <definedName name="QB_ROW_255230" localSheetId="1" hidden="1">'11 Mos Actual'!$D$103</definedName>
    <definedName name="QB_ROW_258230" localSheetId="0" hidden="1">'10 Mos Actual'!$D$104</definedName>
    <definedName name="QB_ROW_258230" localSheetId="1" hidden="1">'11 Mos Actual'!$D$104</definedName>
    <definedName name="QB_ROW_259230" localSheetId="0" hidden="1">'10 Mos Actual'!$D$105</definedName>
    <definedName name="QB_ROW_259230" localSheetId="1" hidden="1">'11 Mos Actual'!$D$105</definedName>
    <definedName name="QB_ROW_260230" localSheetId="0" hidden="1">'10 Mos Actual'!$D$106</definedName>
    <definedName name="QB_ROW_260230" localSheetId="1" hidden="1">'11 Mos Actual'!$D$106</definedName>
    <definedName name="QB_ROW_261230" localSheetId="0" hidden="1">'10 Mos Actual'!$D$107</definedName>
    <definedName name="QB_ROW_261230" localSheetId="1" hidden="1">'11 Mos Actual'!$D$107</definedName>
    <definedName name="QB_ROW_263230" localSheetId="0" hidden="1">'10 Mos Actual'!$D$108</definedName>
    <definedName name="QB_ROW_263230" localSheetId="1" hidden="1">'11 Mos Actual'!$D$108</definedName>
    <definedName name="QB_ROW_265230" localSheetId="0" hidden="1">'10 Mos Actual'!$D$109</definedName>
    <definedName name="QB_ROW_265230" localSheetId="1" hidden="1">'11 Mos Actual'!$D$109</definedName>
    <definedName name="QB_ROW_268230" localSheetId="0" hidden="1">'10 Mos Actual'!$D$110</definedName>
    <definedName name="QB_ROW_268230" localSheetId="1" hidden="1">'11 Mos Actual'!$D$110</definedName>
    <definedName name="QB_ROW_269230" localSheetId="0" hidden="1">'10 Mos Actual'!$D$111</definedName>
    <definedName name="QB_ROW_269230" localSheetId="1" hidden="1">'11 Mos Actual'!$D$111</definedName>
    <definedName name="QB_ROW_274230" localSheetId="0" hidden="1">'10 Mos Actual'!$D$112</definedName>
    <definedName name="QB_ROW_274230" localSheetId="1" hidden="1">'11 Mos Actual'!$D$112</definedName>
    <definedName name="QB_ROW_426230" localSheetId="0" hidden="1">'10 Mos Actual'!$D$14</definedName>
    <definedName name="QB_ROW_426230" localSheetId="1" hidden="1">'11 Mos Actual'!$D$14</definedName>
    <definedName name="QB_ROW_427230" localSheetId="0" hidden="1">'10 Mos Actual'!$D$15</definedName>
    <definedName name="QB_ROW_427230" localSheetId="1" hidden="1">'11 Mos Actual'!$D$15</definedName>
    <definedName name="QB_ROW_428230" localSheetId="0" hidden="1">'10 Mos Actual'!$D$16</definedName>
    <definedName name="QB_ROW_428230" localSheetId="1" hidden="1">'11 Mos Actual'!$D$16</definedName>
    <definedName name="QB_ROW_429230" localSheetId="0" hidden="1">'10 Mos Actual'!$D$17</definedName>
    <definedName name="QB_ROW_429230" localSheetId="1" hidden="1">'11 Mos Actual'!$D$17</definedName>
    <definedName name="QB_ROW_430230" localSheetId="0" hidden="1">'10 Mos Actual'!$D$19</definedName>
    <definedName name="QB_ROW_430230" localSheetId="1" hidden="1">'11 Mos Actual'!$D$19</definedName>
    <definedName name="QB_ROW_431230" localSheetId="0" hidden="1">'10 Mos Actual'!$D$20</definedName>
    <definedName name="QB_ROW_431230" localSheetId="1" hidden="1">'11 Mos Actual'!$D$20</definedName>
    <definedName name="QB_ROW_432230" localSheetId="0" hidden="1">'10 Mos Actual'!$D$21</definedName>
    <definedName name="QB_ROW_432230" localSheetId="1" hidden="1">'11 Mos Actual'!$D$21</definedName>
    <definedName name="QB_ROW_433230" localSheetId="0" hidden="1">'10 Mos Actual'!$D$22</definedName>
    <definedName name="QB_ROW_433230" localSheetId="1" hidden="1">'11 Mos Actual'!$D$22</definedName>
    <definedName name="QB_ROW_434230" localSheetId="0" hidden="1">'10 Mos Actual'!$D$23</definedName>
    <definedName name="QB_ROW_434230" localSheetId="1" hidden="1">'11 Mos Actual'!$D$23</definedName>
    <definedName name="QB_ROW_435230" localSheetId="0" hidden="1">'10 Mos Actual'!$D$24</definedName>
    <definedName name="QB_ROW_435230" localSheetId="1" hidden="1">'11 Mos Actual'!$D$24</definedName>
    <definedName name="QB_ROW_436230" localSheetId="0" hidden="1">'10 Mos Actual'!$D$25</definedName>
    <definedName name="QB_ROW_436230" localSheetId="1" hidden="1">'11 Mos Actual'!$D$25</definedName>
    <definedName name="QB_ROW_437230" localSheetId="0" hidden="1">'10 Mos Actual'!$D$26</definedName>
    <definedName name="QB_ROW_437230" localSheetId="1" hidden="1">'11 Mos Actual'!$D$26</definedName>
    <definedName name="QB_ROW_438230" localSheetId="0" hidden="1">'10 Mos Actual'!$D$28</definedName>
    <definedName name="QB_ROW_438230" localSheetId="1" hidden="1">'11 Mos Actual'!$D$28</definedName>
    <definedName name="QB_ROW_441230" localSheetId="0" hidden="1">'10 Mos Actual'!$D$31</definedName>
    <definedName name="QB_ROW_441230" localSheetId="1" hidden="1">'11 Mos Actual'!$D$31</definedName>
    <definedName name="QB_ROW_443230" localSheetId="0" hidden="1">'10 Mos Actual'!$D$32</definedName>
    <definedName name="QB_ROW_443230" localSheetId="1" hidden="1">'11 Mos Actual'!$D$32</definedName>
    <definedName name="QB_ROW_444230" localSheetId="0" hidden="1">'10 Mos Actual'!$D$33</definedName>
    <definedName name="QB_ROW_444230" localSheetId="1" hidden="1">'11 Mos Actual'!$D$33</definedName>
    <definedName name="QB_ROW_445230" localSheetId="0" hidden="1">'10 Mos Actual'!$D$34</definedName>
    <definedName name="QB_ROW_445230" localSheetId="1" hidden="1">'11 Mos Actual'!$D$34</definedName>
    <definedName name="QB_ROW_446230" localSheetId="0" hidden="1">'10 Mos Actual'!$D$35</definedName>
    <definedName name="QB_ROW_446230" localSheetId="1" hidden="1">'11 Mos Actual'!$D$35</definedName>
    <definedName name="QB_ROW_447230" localSheetId="0" hidden="1">'10 Mos Actual'!$D$36</definedName>
    <definedName name="QB_ROW_447230" localSheetId="1" hidden="1">'11 Mos Actual'!$D$36</definedName>
    <definedName name="QB_ROW_453230" localSheetId="0" hidden="1">'10 Mos Actual'!$D$18</definedName>
    <definedName name="QB_ROW_453230" localSheetId="1" hidden="1">'11 Mos Actual'!$D$18</definedName>
    <definedName name="QB_ROW_454230" localSheetId="0" hidden="1">'10 Mos Actual'!$D$27</definedName>
    <definedName name="QB_ROW_454230" localSheetId="1" hidden="1">'11 Mos Actual'!$D$27</definedName>
    <definedName name="QB_ROW_455230" localSheetId="0" hidden="1">'10 Mos Actual'!$D$29</definedName>
    <definedName name="QB_ROW_455230" localSheetId="1" hidden="1">'11 Mos Actual'!$D$29</definedName>
    <definedName name="QB_ROW_457230" localSheetId="0" hidden="1">'10 Mos Actual'!$D$47</definedName>
    <definedName name="QB_ROW_457230" localSheetId="1" hidden="1">'11 Mos Actual'!$D$47</definedName>
    <definedName name="QB_ROW_458230" localSheetId="0" hidden="1">'10 Mos Actual'!$D$87</definedName>
    <definedName name="QB_ROW_458230" localSheetId="1" hidden="1">'11 Mos Actual'!$D$87</definedName>
    <definedName name="QB_ROW_459230" localSheetId="0" hidden="1">'10 Mos Actual'!$D$91</definedName>
    <definedName name="QB_ROW_459230" localSheetId="1" hidden="1">'11 Mos Actual'!$D$91</definedName>
    <definedName name="QB_ROW_51230" localSheetId="0" hidden="1">'10 Mos Actual'!$D$45</definedName>
    <definedName name="QB_ROW_51230" localSheetId="1" hidden="1">'11 Mos Actual'!$D$45</definedName>
    <definedName name="QB_ROW_86311" localSheetId="0" hidden="1">'10 Mos Actual'!$C$43</definedName>
    <definedName name="QB_ROW_86311" localSheetId="1" hidden="1">'11 Mos Actual'!$C$43</definedName>
    <definedName name="QB_ROW_87021" localSheetId="0" hidden="1">'10 Mos Actual'!$C$38</definedName>
    <definedName name="QB_ROW_87021" localSheetId="1" hidden="1">'11 Mos Actual'!$C$38</definedName>
    <definedName name="QB_ROW_87321" localSheetId="0" hidden="1">'10 Mos Actual'!$C$42</definedName>
    <definedName name="QB_ROW_87321" localSheetId="1" hidden="1">'11 Mos Actual'!$C$42</definedName>
    <definedName name="QB_ROW_9230" localSheetId="0" hidden="1">'10 Mos Actual'!$D$6</definedName>
    <definedName name="QB_ROW_9230" localSheetId="1" hidden="1">'11 Mos Actual'!$D$6</definedName>
    <definedName name="QBCANSUPPORTUPDATE" localSheetId="0">TRUE</definedName>
    <definedName name="QBCANSUPPORTUPDATE" localSheetId="1">TRUE</definedName>
    <definedName name="QBCOMPANYFILENAME" localSheetId="0">"Q:\QuickBooks\Company Files\CABE\CABE QB\CABE.qbw"</definedName>
    <definedName name="QBCOMPANYFILENAME" localSheetId="1">"Q:\QuickBooks\Company Files\CABE\CABE QB\CABE.qbw"</definedName>
    <definedName name="QBENDDATE" localSheetId="0">20140630</definedName>
    <definedName name="QBENDDATE" localSheetId="1">20140630</definedName>
    <definedName name="QBHEADERSONSCREEN" localSheetId="0">FALSE</definedName>
    <definedName name="QBHEADERSONSCREEN" localSheetId="1">FALSE</definedName>
    <definedName name="QBMETADATASIZE" localSheetId="0">5802</definedName>
    <definedName name="QBMETADATASIZE" localSheetId="1">5802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FALSE</definedName>
    <definedName name="QBPRESERVESPACE" localSheetId="1">FALSE</definedName>
    <definedName name="QBREPORTCOLAXIS" localSheetId="0">19</definedName>
    <definedName name="QBREPORTCOLAXIS" localSheetId="1">19</definedName>
    <definedName name="QBREPORTCOMPANYID" localSheetId="0">"43f6f7f914b84578805e934cc41ab4fb"</definedName>
    <definedName name="QBREPORTCOMPANYID" localSheetId="1">"43f6f7f914b84578805e934cc41ab4fb"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TRUE</definedName>
    <definedName name="QBREPORTCOMPARECOL_BUDDIFF" localSheetId="1">TRUE</definedName>
    <definedName name="QBREPORTCOMPARECOL_BUDGET" localSheetId="0">TRUE</definedName>
    <definedName name="QBREPORTCOMPARECOL_BUDGET" localSheetId="1">TRUE</definedName>
    <definedName name="QBREPORTCOMPARECOL_BUDPCT" localSheetId="0">TRUE</definedName>
    <definedName name="QBREPORTCOMPARECOL_BUDPCT" localSheetId="1">TRUE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24</definedName>
    <definedName name="QBREPORTSUBCOLAXIS" localSheetId="1">24</definedName>
    <definedName name="QBREPORTTYPE" localSheetId="0">370</definedName>
    <definedName name="QBREPORTTYPE" localSheetId="1">370</definedName>
    <definedName name="QBROWHEADERS" localSheetId="0">4</definedName>
    <definedName name="QBROWHEADERS" localSheetId="1">4</definedName>
    <definedName name="QBSTARTDATE" localSheetId="0">20130701</definedName>
    <definedName name="QBSTARTDATE" localSheetId="1">20130701</definedName>
    <definedName name="_xlnm.Print_Titles" localSheetId="0">'10 Mos Actual'!$A:$D,'10 Mos Actual'!$1:$4</definedName>
    <definedName name="_xlnm.Print_Titles" localSheetId="1">'11 Mos Actual'!$A:$D,'11 Mos Actual'!$1:$4</definedName>
    <definedName name="_xlnm.Print_Titles" localSheetId="2">'2016-07'!$A:$D,'2016-07'!$1:$4</definedName>
  </definedNames>
  <calcPr calcId="125725"/>
  <extLst/>
</workbook>
</file>

<file path=xl/sharedStrings.xml><?xml version="1.0" encoding="utf-8"?>
<sst xmlns="http://schemas.openxmlformats.org/spreadsheetml/2006/main" count="552" uniqueCount="280">
  <si>
    <t>03 Presidents Budget</t>
  </si>
  <si>
    <t>04 Retirement Special Event</t>
  </si>
  <si>
    <t>05 IT</t>
  </si>
  <si>
    <t>10-General Membership</t>
  </si>
  <si>
    <t>11 Chapter Activities</t>
  </si>
  <si>
    <t>12 Multilingual Newsletter</t>
  </si>
  <si>
    <t>13 Lang. Magazine &amp; A. Eduator</t>
  </si>
  <si>
    <t>19 JDA-Annual Conference</t>
  </si>
  <si>
    <t>20 Annual Conference</t>
  </si>
  <si>
    <t>(30 PDS / OMS)</t>
  </si>
  <si>
    <t>OMS-PDS</t>
  </si>
  <si>
    <t>PD -Events</t>
  </si>
  <si>
    <t>PD Single District</t>
  </si>
  <si>
    <t>PDS Single District Consulting</t>
  </si>
  <si>
    <t>30 PDS / OMS - Other</t>
  </si>
  <si>
    <t>Total 30 PDS / OMS</t>
  </si>
  <si>
    <t>(40 Regional Conferences)</t>
  </si>
  <si>
    <t>31 Sacramento</t>
  </si>
  <si>
    <t>36 Bakersfield</t>
  </si>
  <si>
    <t>39 Monterey</t>
  </si>
  <si>
    <t>Total 40 Regional Conferences</t>
  </si>
  <si>
    <t>45 2Way Cabe</t>
  </si>
  <si>
    <t>47 Jornada</t>
  </si>
  <si>
    <t>61 CABE Store</t>
  </si>
  <si>
    <t>62 Mailing Lists</t>
  </si>
  <si>
    <t>80 Advocacy/Legislative</t>
  </si>
  <si>
    <t>81 Public Relations</t>
  </si>
  <si>
    <t>83 i3 Grant</t>
  </si>
  <si>
    <t>93 JP Chase</t>
  </si>
  <si>
    <t>95 Project 2 Inspire</t>
  </si>
  <si>
    <t>TOTAL</t>
  </si>
  <si>
    <t>Budget</t>
  </si>
  <si>
    <t>$ Over Budget</t>
  </si>
  <si>
    <t>% of Budget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</si>
  <si>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</si>
  <si>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</si>
  <si>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</si>
  <si>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</si>
  <si>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</si>
  <si>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</si>
  <si>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</si>
  <si>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</si>
  <si>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</si>
  <si>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</si>
  <si>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4022 · Fees-Career Fair</t>
  </si>
  <si>
    <t>4023 · Fees-Meals</t>
  </si>
  <si>
    <t>4024 · Presenter Fees Annual</t>
  </si>
  <si>
    <t>4029 · Shipping Cost</t>
  </si>
  <si>
    <t>4030 · Publications / Books</t>
  </si>
  <si>
    <t>4031 · Promotional Items</t>
  </si>
  <si>
    <t>4040 · Sponsors</t>
  </si>
  <si>
    <t>4041 · Other Contributions</t>
  </si>
  <si>
    <t>4042 · Other-Advertising</t>
  </si>
  <si>
    <t>4043 · Government Grant</t>
  </si>
  <si>
    <t>4044 · Ticket Sales</t>
  </si>
  <si>
    <t>4045 · Other School Visits</t>
  </si>
  <si>
    <t>4046 · Hotel Rebates</t>
  </si>
  <si>
    <t>4047 · Mailing Lists</t>
  </si>
  <si>
    <t>4048 · Dues &amp; Subscription Income</t>
  </si>
  <si>
    <t>4900 · Interest-Savings, Short-term CD</t>
  </si>
  <si>
    <t>4901 · Partnership Funds</t>
  </si>
  <si>
    <t>4910 · Prior Year Income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</si>
  <si>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</si>
  <si>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</si>
  <si>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</si>
  <si>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</si>
  <si>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</si>
  <si>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</si>
  <si>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- Promotional Items</t>
  </si>
  <si>
    <t>5200 · Sales Tax</t>
  </si>
  <si>
    <t>5300 · Purchases/Membership</t>
  </si>
  <si>
    <t>Total COGS</t>
  </si>
  <si>
    <t>Gross Profit</t>
  </si>
  <si>
    <t>Expense</t>
  </si>
  <si>
    <t>6000 · Payroll Expenses</t>
  </si>
  <si>
    <t>6005 · Salaries Expense</t>
  </si>
  <si>
    <t>6008 · Bonus Expense</t>
  </si>
  <si>
    <t>6010 · Temporary Help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</si>
  <si>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</si>
  <si>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</si>
  <si>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</si>
  <si>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</si>
  <si>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</si>
  <si>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</si>
  <si>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6200 · Rent Expense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</si>
  <si>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</si>
  <si>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</si>
  <si>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</si>
  <si>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</si>
  <si>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</si>
  <si>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</si>
  <si>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</si>
  <si>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</si>
  <si>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</si>
  <si>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</si>
  <si>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</si>
  <si>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</si>
  <si>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</si>
  <si>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</si>
  <si>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</si>
  <si>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</si>
  <si>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</si>
  <si>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</si>
  <si>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</si>
  <si>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</si>
  <si>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</si>
  <si>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</si>
  <si>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</si>
  <si>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</si>
  <si>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</si>
  <si>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</si>
  <si>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6420 · Education/Prof. Materials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</si>
  <si>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</si>
  <si>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</si>
  <si>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</si>
  <si>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</si>
  <si>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</si>
  <si>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</si>
  <si>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</si>
  <si>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</si>
  <si>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6720 · Chapter Rebates</t>
  </si>
  <si>
    <t>6730 · Scholarships</t>
  </si>
  <si>
    <t>6740 · Donations &amp; Contributions</t>
  </si>
  <si>
    <t>6800 · Travel Expense</t>
  </si>
  <si>
    <t>6810 · Meals Expense</t>
  </si>
  <si>
    <t>6820 · Conference Music Show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</si>
  <si>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</si>
  <si>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</si>
  <si>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</si>
  <si>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</si>
  <si>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</si>
  <si>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6921 · Credit Card Charge Fees</t>
  </si>
  <si>
    <t>6950 · Other-Services</t>
  </si>
  <si>
    <t>6960 · Consultants</t>
  </si>
  <si>
    <t>6961 · Consultant Reimbursements</t>
  </si>
  <si>
    <t>7000 · Advertising Expense</t>
  </si>
  <si>
    <t>7500 · Interest Expense (mortgage)</t>
  </si>
  <si>
    <t>7800 · Cash (Over)/Short</t>
  </si>
  <si>
    <t>7830 · Prior Year Expense</t>
  </si>
  <si>
    <t>7840 · Miscellaneous Expense</t>
  </si>
  <si>
    <t>7930 · Indirect Cost</t>
  </si>
  <si>
    <t>Total Expense</t>
  </si>
  <si>
    <t>Net Income</t>
  </si>
  <si>
    <t/>
  </si>
  <si>
    <t>60 Books/ Cassettes</t>
  </si>
  <si>
    <t>California Association for Bilingual Education</t>
  </si>
  <si>
    <t>Statement of Activities by Program</t>
  </si>
  <si>
    <t>As of April 30, 2014</t>
  </si>
  <si>
    <t>33 LB &amp; OC</t>
  </si>
  <si>
    <t>35 RS/SB/PSprings/Ontario</t>
  </si>
  <si>
    <t>Total 10 mos. Actual</t>
  </si>
  <si>
    <t>01 Head quarters</t>
  </si>
  <si>
    <t>02 Board/ Committee Meetings</t>
  </si>
  <si>
    <t>70 Teacher- ships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</si>
  <si>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</si>
  <si>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</si>
  <si>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</si>
  <si>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</si>
  <si>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</si>
  <si>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</si>
  <si>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</si>
  <si>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</si>
  <si>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</si>
  <si>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</si>
  <si>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</si>
  <si>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</si>
  <si>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Vaniance</t>
  </si>
  <si>
    <t>Total 12 mos</t>
  </si>
  <si>
    <t>Variance</t>
  </si>
  <si>
    <t>2 mos. Forecast</t>
  </si>
  <si>
    <t>6350 · Small Equipment Purchases</t>
  </si>
  <si>
    <t>01 Headquarters</t>
  </si>
  <si>
    <t>35 R.side/SBer/PSprings/Ontario</t>
  </si>
  <si>
    <t>60 Books/Cassettes</t>
  </si>
  <si>
    <t>70 Teacherships</t>
  </si>
  <si>
    <t xml:space="preserve">  6351 · Small Equipment Purchases-Hardware</t>
  </si>
  <si>
    <t xml:space="preserve">  6352 · Small Equipment Purchases-Software</t>
  </si>
  <si>
    <t xml:space="preserve">  6353 · Small Equipment Purchases-Other</t>
  </si>
  <si>
    <t>6330 · Equipment Maint &amp; Repairs</t>
  </si>
  <si>
    <t>6331 · Bldg. Maintenance &amp; Repairs</t>
  </si>
  <si>
    <t>02 Board/Com- mittee Meetings</t>
  </si>
  <si>
    <t>80 Advocacy/ Legislative</t>
  </si>
  <si>
    <t>Unclassified</t>
  </si>
  <si>
    <t>11 Mos. Actual</t>
  </si>
  <si>
    <t>1 Mo. Forecast</t>
  </si>
  <si>
    <t>12 Mos. Forecast</t>
  </si>
  <si>
    <t>12 Mos. Budget</t>
  </si>
  <si>
    <t>6351 · Hardware</t>
  </si>
  <si>
    <t>6353 · Other Small Equipment Purchases</t>
  </si>
  <si>
    <t>YTD through May 31, 2014</t>
  </si>
  <si>
    <t>Invitational</t>
  </si>
  <si>
    <t>Consulting Proj.</t>
  </si>
  <si>
    <t>c</t>
  </si>
  <si>
    <t>C</t>
  </si>
  <si>
    <t>7000 · Advertising/Marketing Expense</t>
  </si>
  <si>
    <t>4931 · Translation Services Income</t>
  </si>
  <si>
    <t>Cash Flow Projections</t>
  </si>
  <si>
    <t>Provided by (used in) operating activities</t>
  </si>
  <si>
    <t>Depreciation</t>
  </si>
  <si>
    <t>Change in operating assets and liabilities</t>
  </si>
  <si>
    <t>Accounts receivable</t>
  </si>
  <si>
    <t>Contract receivable</t>
  </si>
  <si>
    <t>Inventory</t>
  </si>
  <si>
    <t>Prepaid expenses and other current assets</t>
  </si>
  <si>
    <t>Accounts payable and accrued expenses</t>
  </si>
  <si>
    <t>Earned income</t>
  </si>
  <si>
    <t>Net cash used in operating activities</t>
  </si>
  <si>
    <t>Cash flows from investing activities</t>
  </si>
  <si>
    <t>Purchase of property and equipment</t>
  </si>
  <si>
    <t>Cash flows from financing activities</t>
  </si>
  <si>
    <t>Payment of note payable</t>
  </si>
  <si>
    <t>Forecast Total</t>
  </si>
  <si>
    <t>%</t>
  </si>
  <si>
    <t>Change in Net Assets</t>
  </si>
  <si>
    <t>Investments</t>
  </si>
  <si>
    <t>Investment/Reinvested interest income</t>
  </si>
  <si>
    <t>Interest Income on Investments/Investment Transfer</t>
  </si>
  <si>
    <t xml:space="preserve">FY 2016-17 </t>
  </si>
  <si>
    <t>4019 . Half Day &amp; 2 Days Institues</t>
  </si>
  <si>
    <t>4025 . Award Luncheon</t>
  </si>
  <si>
    <t>4026 . Seal of Exellence</t>
  </si>
  <si>
    <t>4032 . Auxiliary Materials</t>
  </si>
  <si>
    <t>FY 16-17</t>
  </si>
  <si>
    <t xml:space="preserve"> Prior to Board Approved Budget</t>
  </si>
  <si>
    <t>5000 · COGS - Books/Publications</t>
  </si>
  <si>
    <t>6360 · Office Furniture Purchases</t>
  </si>
  <si>
    <t>Jul 16</t>
  </si>
  <si>
    <t>OPERATING ACTIVITIES</t>
  </si>
  <si>
    <t>Adjustments to reconcile Net Income</t>
  </si>
  <si>
    <t>to net cash provided by operations:</t>
  </si>
  <si>
    <t>1200 · Accounts Receivable</t>
  </si>
  <si>
    <t>1207 · A/R Grants i3</t>
  </si>
  <si>
    <t>1400 · Prepaid</t>
  </si>
  <si>
    <t>2010 · Accounts Payable</t>
  </si>
  <si>
    <t>2011 · AP II</t>
  </si>
  <si>
    <t>2027 · Deffered Income PDS Contracts</t>
  </si>
  <si>
    <t>2028 · Deffered Income P2I Contracts</t>
  </si>
  <si>
    <t>2031 · Deferred Membership Teacher</t>
  </si>
  <si>
    <t>2034 · Deferred Membership Student</t>
  </si>
  <si>
    <t>2037 · Deferred Membership Admin</t>
  </si>
  <si>
    <t>2038 · Deferred Membership Ret Teacher</t>
  </si>
  <si>
    <t>2146 · Employee Benefit Deductions</t>
  </si>
  <si>
    <t>2170 · Accrued Salaries Payable</t>
  </si>
  <si>
    <t>2171 · Accrued Payroll Taxes</t>
  </si>
  <si>
    <t>2180 · Accrued Vested Vacation</t>
  </si>
  <si>
    <t>2200 · Sales Tax Payable</t>
  </si>
  <si>
    <t>Net cash provided by Operating Activities</t>
  </si>
  <si>
    <t>INVESTING ACTIVITIES</t>
  </si>
  <si>
    <t>1510 · Acc.Dpr.-Building</t>
  </si>
  <si>
    <t>1511 · Acc. Dpr-Furn., Fix &amp; Equip</t>
  </si>
  <si>
    <t>1601 · Accum. Dpr. Bldg Improvement</t>
  </si>
  <si>
    <t>Net cash provided by Investing Activities</t>
  </si>
  <si>
    <t>FINANCING ACTIVITIES</t>
  </si>
  <si>
    <t>2025 · Note Payable</t>
  </si>
  <si>
    <t>Net cash provided by Financing Activities</t>
  </si>
  <si>
    <t>Net cash increase for period</t>
  </si>
  <si>
    <t>Cash at beginning of period</t>
  </si>
  <si>
    <t>Cash at end of period</t>
  </si>
  <si>
    <t>Aug 16</t>
  </si>
  <si>
    <t>1208 · A/R - P2I</t>
  </si>
  <si>
    <t>1209 · A/R - PDS</t>
  </si>
  <si>
    <t>Sep 16</t>
  </si>
  <si>
    <t>Oct 16</t>
  </si>
  <si>
    <t>Nov 16</t>
  </si>
  <si>
    <t>1202.2 · A/R - Annual Conference 2016 &amp; 2017</t>
  </si>
  <si>
    <t>2032 · Deferred Membership Paraprof</t>
  </si>
  <si>
    <t>2033 · Deferred Membership Parent/Com</t>
  </si>
  <si>
    <t>2700 · Chapter Scholarship Payable</t>
  </si>
  <si>
    <t>Transfer To/from Cash &amp; Investment Account</t>
  </si>
  <si>
    <t>Cash and cash equiv. at end of this period</t>
  </si>
  <si>
    <t>Cash and cash equiv. at b/g of this period</t>
  </si>
  <si>
    <t>Net change in cash and cash equiv.</t>
  </si>
  <si>
    <t>Total Cash and cash equiv. incl. Investments</t>
  </si>
  <si>
    <t>4027 · Admin. Leadership Symposium</t>
  </si>
  <si>
    <t>Dec 16</t>
  </si>
  <si>
    <t>Change in net assets</t>
  </si>
  <si>
    <t>Adjustments to reconcile change in net assets to net cash</t>
  </si>
  <si>
    <t>5 Mos. Forecast</t>
  </si>
  <si>
    <t>7 Mos. Actual</t>
  </si>
  <si>
    <t>Updated:  March 16, 2017</t>
  </si>
</sst>
</file>

<file path=xl/styles.xml><?xml version="1.0" encoding="utf-8"?>
<styleSheet xmlns="http://schemas.openxmlformats.org/spreadsheetml/2006/main">
  <numFmts count="7">
    <numFmt numFmtId="164" formatCode="#,##0;[Red]\-#,##0"/>
    <numFmt numFmtId="165" formatCode="#,##0%;[Red]\-#,##0%"/>
    <numFmt numFmtId="166" formatCode="#,##0.00;\-#,##0.00"/>
    <numFmt numFmtId="167" formatCode="#,##0.0#%;\-#,##0.0#%"/>
    <numFmt numFmtId="168" formatCode="#,##0;\-#,##0"/>
    <numFmt numFmtId="169" formatCode="#,##0.00;[Red]#,##0.00"/>
    <numFmt numFmtId="171" formatCode="#,##0.0;\-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0"/>
      <color rgb="FF32323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323232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 tint="-0.149959996342659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ck"/>
    </border>
    <border>
      <left/>
      <right/>
      <top style="thin"/>
      <bottom style="medium"/>
    </border>
    <border>
      <left style="dashed"/>
      <right/>
      <top style="thick"/>
      <bottom style="thick"/>
    </border>
    <border>
      <left style="dashed"/>
      <right/>
      <top/>
      <bottom/>
    </border>
    <border>
      <left style="dashed"/>
      <right/>
      <top/>
      <bottom style="medium"/>
    </border>
    <border>
      <left style="dashed"/>
      <right/>
      <top style="medium"/>
      <bottom style="medium"/>
    </border>
    <border>
      <left style="dashed"/>
      <right/>
      <top style="medium"/>
      <bottom/>
    </border>
    <border>
      <left style="dashed"/>
      <right/>
      <top style="medium"/>
      <bottom style="double"/>
    </border>
    <border>
      <left/>
      <right/>
      <top style="thin"/>
      <bottom style="double"/>
    </border>
    <border>
      <left/>
      <right/>
      <top/>
      <bottom style="thick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49" fontId="3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165" fontId="4" fillId="0" borderId="0" xfId="0" applyNumberFormat="1" applyFont="1"/>
    <xf numFmtId="164" fontId="4" fillId="0" borderId="1" xfId="0" applyNumberFormat="1" applyFont="1" applyBorder="1"/>
    <xf numFmtId="165" fontId="4" fillId="0" borderId="1" xfId="0" applyNumberFormat="1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2" xfId="0" applyNumberFormat="1" applyFont="1" applyBorder="1"/>
    <xf numFmtId="165" fontId="4" fillId="0" borderId="2" xfId="0" applyNumberFormat="1" applyFont="1" applyBorder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49" fontId="0" fillId="0" borderId="0" xfId="0" applyNumberFormat="1" applyBorder="1" applyAlignment="1">
      <alignment horizontal="centerContinuous" wrapText="1"/>
    </xf>
    <xf numFmtId="49" fontId="0" fillId="0" borderId="0" xfId="0" applyNumberFormat="1" applyBorder="1" applyAlignment="1" quotePrefix="1">
      <alignment horizontal="centerContinuous" wrapText="1"/>
    </xf>
    <xf numFmtId="164" fontId="4" fillId="2" borderId="0" xfId="0" applyNumberFormat="1" applyFont="1" applyFill="1"/>
    <xf numFmtId="164" fontId="4" fillId="2" borderId="1" xfId="0" applyNumberFormat="1" applyFont="1" applyFill="1" applyBorder="1"/>
    <xf numFmtId="164" fontId="4" fillId="2" borderId="0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164" fontId="3" fillId="2" borderId="4" xfId="0" applyNumberFormat="1" applyFont="1" applyFill="1" applyBorder="1"/>
    <xf numFmtId="49" fontId="0" fillId="0" borderId="0" xfId="0" applyNumberFormat="1" applyBorder="1" applyAlignment="1" quotePrefix="1">
      <alignment horizontal="centerContinuous"/>
    </xf>
    <xf numFmtId="164" fontId="4" fillId="3" borderId="0" xfId="0" applyNumberFormat="1" applyFont="1" applyFill="1"/>
    <xf numFmtId="164" fontId="4" fillId="3" borderId="1" xfId="0" applyNumberFormat="1" applyFont="1" applyFill="1" applyBorder="1"/>
    <xf numFmtId="164" fontId="4" fillId="3" borderId="0" xfId="0" applyNumberFormat="1" applyFont="1" applyFill="1" applyBorder="1"/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164" fontId="3" fillId="3" borderId="4" xfId="0" applyNumberFormat="1" applyFont="1" applyFill="1" applyBorder="1"/>
    <xf numFmtId="0" fontId="5" fillId="0" borderId="0" xfId="0" applyNumberFormat="1" applyFont="1"/>
    <xf numFmtId="0" fontId="6" fillId="0" borderId="0" xfId="0" applyNumberFormat="1" applyFont="1"/>
    <xf numFmtId="49" fontId="3" fillId="0" borderId="5" xfId="0" applyNumberFormat="1" applyFont="1" applyBorder="1" applyAlignment="1">
      <alignment horizontal="centerContinuous" wrapText="1"/>
    </xf>
    <xf numFmtId="166" fontId="4" fillId="0" borderId="0" xfId="0" applyNumberFormat="1" applyFont="1"/>
    <xf numFmtId="167" fontId="4" fillId="0" borderId="0" xfId="0" applyNumberFormat="1" applyFont="1"/>
    <xf numFmtId="49" fontId="3" fillId="0" borderId="6" xfId="0" applyNumberFormat="1" applyFont="1" applyBorder="1"/>
    <xf numFmtId="168" fontId="4" fillId="0" borderId="6" xfId="0" applyNumberFormat="1" applyFont="1" applyBorder="1"/>
    <xf numFmtId="9" fontId="4" fillId="0" borderId="6" xfId="15" applyFont="1" applyBorder="1"/>
    <xf numFmtId="49" fontId="3" fillId="0" borderId="7" xfId="0" applyNumberFormat="1" applyFont="1" applyBorder="1"/>
    <xf numFmtId="168" fontId="4" fillId="0" borderId="7" xfId="0" applyNumberFormat="1" applyFont="1" applyBorder="1"/>
    <xf numFmtId="168" fontId="4" fillId="0" borderId="0" xfId="0" applyNumberFormat="1" applyFont="1"/>
    <xf numFmtId="9" fontId="4" fillId="0" borderId="0" xfId="15" applyFont="1"/>
    <xf numFmtId="168" fontId="4" fillId="0" borderId="2" xfId="0" applyNumberFormat="1" applyFont="1" applyBorder="1"/>
    <xf numFmtId="9" fontId="4" fillId="0" borderId="2" xfId="15" applyFont="1" applyBorder="1"/>
    <xf numFmtId="49" fontId="3" fillId="0" borderId="8" xfId="0" applyNumberFormat="1" applyFont="1" applyBorder="1"/>
    <xf numFmtId="168" fontId="4" fillId="0" borderId="8" xfId="0" applyNumberFormat="1" applyFont="1" applyBorder="1"/>
    <xf numFmtId="9" fontId="4" fillId="0" borderId="8" xfId="15" applyFont="1" applyBorder="1"/>
    <xf numFmtId="168" fontId="4" fillId="0" borderId="3" xfId="0" applyNumberFormat="1" applyFont="1" applyBorder="1"/>
    <xf numFmtId="9" fontId="4" fillId="0" borderId="3" xfId="15" applyFont="1" applyBorder="1"/>
    <xf numFmtId="49" fontId="3" fillId="4" borderId="1" xfId="0" applyNumberFormat="1" applyFont="1" applyFill="1" applyBorder="1" applyAlignment="1">
      <alignment horizontal="centerContinuous" wrapText="1"/>
    </xf>
    <xf numFmtId="49" fontId="3" fillId="5" borderId="1" xfId="0" applyNumberFormat="1" applyFont="1" applyFill="1" applyBorder="1" applyAlignment="1">
      <alignment horizontal="centerContinuous" wrapText="1"/>
    </xf>
    <xf numFmtId="49" fontId="3" fillId="0" borderId="1" xfId="0" applyNumberFormat="1" applyFont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 wrapText="1"/>
    </xf>
    <xf numFmtId="49" fontId="3" fillId="3" borderId="1" xfId="0" applyNumberFormat="1" applyFont="1" applyFill="1" applyBorder="1" applyAlignment="1">
      <alignment horizontal="centerContinuous" wrapText="1"/>
    </xf>
    <xf numFmtId="49" fontId="3" fillId="6" borderId="1" xfId="0" applyNumberFormat="1" applyFont="1" applyFill="1" applyBorder="1" applyAlignment="1">
      <alignment horizontal="centerContinuous" wrapText="1"/>
    </xf>
    <xf numFmtId="49" fontId="3" fillId="0" borderId="2" xfId="0" applyNumberFormat="1" applyFont="1" applyBorder="1" applyAlignment="1">
      <alignment horizontal="centerContinuous" wrapText="1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 quotePrefix="1">
      <alignment horizontal="centerContinuous" wrapText="1"/>
    </xf>
    <xf numFmtId="164" fontId="4" fillId="7" borderId="3" xfId="0" applyNumberFormat="1" applyFont="1" applyFill="1" applyBorder="1"/>
    <xf numFmtId="49" fontId="3" fillId="2" borderId="5" xfId="0" applyNumberFormat="1" applyFont="1" applyFill="1" applyBorder="1" applyAlignment="1">
      <alignment horizontal="centerContinuous" wrapText="1"/>
    </xf>
    <xf numFmtId="166" fontId="4" fillId="2" borderId="0" xfId="0" applyNumberFormat="1" applyFont="1" applyFill="1"/>
    <xf numFmtId="0" fontId="7" fillId="0" borderId="0" xfId="0" applyNumberFormat="1" applyFont="1"/>
    <xf numFmtId="49" fontId="7" fillId="0" borderId="0" xfId="0" applyNumberFormat="1" applyFont="1" applyBorder="1" applyAlignment="1">
      <alignment horizontal="centerContinuous"/>
    </xf>
    <xf numFmtId="49" fontId="3" fillId="8" borderId="2" xfId="0" applyNumberFormat="1" applyFont="1" applyFill="1" applyBorder="1" applyAlignment="1">
      <alignment horizontal="center"/>
    </xf>
    <xf numFmtId="164" fontId="3" fillId="8" borderId="0" xfId="0" applyNumberFormat="1" applyFont="1" applyFill="1"/>
    <xf numFmtId="164" fontId="3" fillId="8" borderId="1" xfId="0" applyNumberFormat="1" applyFont="1" applyFill="1" applyBorder="1"/>
    <xf numFmtId="164" fontId="3" fillId="8" borderId="2" xfId="0" applyNumberFormat="1" applyFont="1" applyFill="1" applyBorder="1"/>
    <xf numFmtId="164" fontId="3" fillId="8" borderId="0" xfId="0" applyNumberFormat="1" applyFont="1" applyFill="1" applyBorder="1"/>
    <xf numFmtId="164" fontId="3" fillId="8" borderId="3" xfId="0" applyNumberFormat="1" applyFont="1" applyFill="1" applyBorder="1"/>
    <xf numFmtId="164" fontId="3" fillId="8" borderId="4" xfId="0" applyNumberFormat="1" applyFont="1" applyFill="1" applyBorder="1"/>
    <xf numFmtId="49" fontId="3" fillId="9" borderId="2" xfId="0" applyNumberFormat="1" applyFont="1" applyFill="1" applyBorder="1" applyAlignment="1">
      <alignment horizontal="centerContinuous" wrapText="1"/>
    </xf>
    <xf numFmtId="164" fontId="4" fillId="9" borderId="0" xfId="0" applyNumberFormat="1" applyFont="1" applyFill="1"/>
    <xf numFmtId="164" fontId="4" fillId="9" borderId="1" xfId="0" applyNumberFormat="1" applyFont="1" applyFill="1" applyBorder="1"/>
    <xf numFmtId="164" fontId="4" fillId="9" borderId="0" xfId="0" applyNumberFormat="1" applyFont="1" applyFill="1" applyBorder="1"/>
    <xf numFmtId="164" fontId="4" fillId="9" borderId="2" xfId="0" applyNumberFormat="1" applyFont="1" applyFill="1" applyBorder="1"/>
    <xf numFmtId="164" fontId="4" fillId="9" borderId="3" xfId="0" applyNumberFormat="1" applyFont="1" applyFill="1" applyBorder="1"/>
    <xf numFmtId="164" fontId="3" fillId="9" borderId="4" xfId="0" applyNumberFormat="1" applyFont="1" applyFill="1" applyBorder="1"/>
    <xf numFmtId="49" fontId="3" fillId="0" borderId="9" xfId="0" applyNumberFormat="1" applyFont="1" applyBorder="1"/>
    <xf numFmtId="168" fontId="4" fillId="0" borderId="9" xfId="0" applyNumberFormat="1" applyFont="1" applyBorder="1"/>
    <xf numFmtId="9" fontId="4" fillId="0" borderId="9" xfId="15" applyFont="1" applyBorder="1"/>
    <xf numFmtId="0" fontId="0" fillId="0" borderId="0" xfId="0" applyNumberFormat="1"/>
    <xf numFmtId="0" fontId="0" fillId="0" borderId="0" xfId="0"/>
    <xf numFmtId="166" fontId="4" fillId="0" borderId="1" xfId="0" applyNumberFormat="1" applyFont="1" applyBorder="1"/>
    <xf numFmtId="166" fontId="4" fillId="0" borderId="0" xfId="0" applyNumberFormat="1" applyFont="1" applyBorder="1"/>
    <xf numFmtId="166" fontId="4" fillId="0" borderId="2" xfId="0" applyNumberFormat="1" applyFont="1" applyBorder="1"/>
    <xf numFmtId="166" fontId="4" fillId="0" borderId="3" xfId="0" applyNumberFormat="1" applyFont="1" applyBorder="1"/>
    <xf numFmtId="166" fontId="3" fillId="0" borderId="4" xfId="0" applyNumberFormat="1" applyFont="1" applyBorder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Continuous" wrapText="1"/>
    </xf>
    <xf numFmtId="49" fontId="3" fillId="0" borderId="0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Continuous" wrapText="1"/>
    </xf>
    <xf numFmtId="49" fontId="3" fillId="10" borderId="5" xfId="0" applyNumberFormat="1" applyFont="1" applyFill="1" applyBorder="1" applyAlignment="1">
      <alignment horizontal="centerContinuous" wrapText="1"/>
    </xf>
    <xf numFmtId="164" fontId="4" fillId="10" borderId="0" xfId="0" applyNumberFormat="1" applyFont="1" applyFill="1"/>
    <xf numFmtId="49" fontId="3" fillId="0" borderId="0" xfId="0" applyNumberFormat="1" applyFont="1" applyBorder="1"/>
    <xf numFmtId="164" fontId="4" fillId="10" borderId="1" xfId="0" applyNumberFormat="1" applyFont="1" applyFill="1" applyBorder="1"/>
    <xf numFmtId="164" fontId="4" fillId="10" borderId="0" xfId="0" applyNumberFormat="1" applyFont="1" applyFill="1" applyBorder="1"/>
    <xf numFmtId="164" fontId="4" fillId="10" borderId="2" xfId="0" applyNumberFormat="1" applyFont="1" applyFill="1" applyBorder="1"/>
    <xf numFmtId="169" fontId="4" fillId="10" borderId="0" xfId="0" applyNumberFormat="1" applyFont="1" applyFill="1"/>
    <xf numFmtId="164" fontId="4" fillId="10" borderId="3" xfId="0" applyNumberFormat="1" applyFont="1" applyFill="1" applyBorder="1"/>
    <xf numFmtId="164" fontId="3" fillId="10" borderId="4" xfId="0" applyNumberFormat="1" applyFont="1" applyFill="1" applyBorder="1"/>
    <xf numFmtId="166" fontId="4" fillId="2" borderId="1" xfId="0" applyNumberFormat="1" applyFont="1" applyFill="1" applyBorder="1"/>
    <xf numFmtId="166" fontId="4" fillId="2" borderId="0" xfId="0" applyNumberFormat="1" applyFont="1" applyFill="1" applyBorder="1"/>
    <xf numFmtId="166" fontId="4" fillId="2" borderId="2" xfId="0" applyNumberFormat="1" applyFont="1" applyFill="1" applyBorder="1"/>
    <xf numFmtId="166" fontId="4" fillId="2" borderId="3" xfId="0" applyNumberFormat="1" applyFont="1" applyFill="1" applyBorder="1"/>
    <xf numFmtId="166" fontId="3" fillId="2" borderId="4" xfId="0" applyNumberFormat="1" applyFont="1" applyFill="1" applyBorder="1"/>
    <xf numFmtId="49" fontId="3" fillId="11" borderId="5" xfId="0" applyNumberFormat="1" applyFont="1" applyFill="1" applyBorder="1" applyAlignment="1">
      <alignment horizontal="centerContinuous" wrapText="1"/>
    </xf>
    <xf numFmtId="164" fontId="4" fillId="11" borderId="0" xfId="0" applyNumberFormat="1" applyFont="1" applyFill="1"/>
    <xf numFmtId="164" fontId="4" fillId="11" borderId="1" xfId="0" applyNumberFormat="1" applyFont="1" applyFill="1" applyBorder="1"/>
    <xf numFmtId="164" fontId="4" fillId="11" borderId="0" xfId="0" applyNumberFormat="1" applyFont="1" applyFill="1" applyBorder="1"/>
    <xf numFmtId="164" fontId="4" fillId="11" borderId="2" xfId="0" applyNumberFormat="1" applyFont="1" applyFill="1" applyBorder="1"/>
    <xf numFmtId="169" fontId="4" fillId="11" borderId="0" xfId="0" applyNumberFormat="1" applyFont="1" applyFill="1"/>
    <xf numFmtId="164" fontId="4" fillId="11" borderId="3" xfId="0" applyNumberFormat="1" applyFont="1" applyFill="1" applyBorder="1"/>
    <xf numFmtId="164" fontId="3" fillId="11" borderId="4" xfId="0" applyNumberFormat="1" applyFont="1" applyFill="1" applyBorder="1"/>
    <xf numFmtId="49" fontId="3" fillId="2" borderId="10" xfId="0" applyNumberFormat="1" applyFont="1" applyFill="1" applyBorder="1" applyAlignment="1">
      <alignment horizontal="centerContinuous" wrapText="1"/>
    </xf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9" fontId="4" fillId="2" borderId="11" xfId="0" applyNumberFormat="1" applyFont="1" applyFill="1" applyBorder="1"/>
    <xf numFmtId="164" fontId="4" fillId="2" borderId="14" xfId="0" applyNumberFormat="1" applyFont="1" applyFill="1" applyBorder="1"/>
    <xf numFmtId="164" fontId="3" fillId="2" borderId="15" xfId="0" applyNumberFormat="1" applyFont="1" applyFill="1" applyBorder="1"/>
    <xf numFmtId="49" fontId="4" fillId="12" borderId="5" xfId="0" applyNumberFormat="1" applyFont="1" applyFill="1" applyBorder="1" applyAlignment="1">
      <alignment horizontal="centerContinuous" wrapText="1"/>
    </xf>
    <xf numFmtId="49" fontId="4" fillId="13" borderId="5" xfId="0" applyNumberFormat="1" applyFont="1" applyFill="1" applyBorder="1" applyAlignment="1">
      <alignment horizontal="centerContinuous" wrapText="1"/>
    </xf>
    <xf numFmtId="49" fontId="3" fillId="0" borderId="0" xfId="0" applyNumberFormat="1" applyFont="1" applyAlignment="1" quotePrefix="1">
      <alignment horizontal="centerContinuous" wrapText="1"/>
    </xf>
    <xf numFmtId="49" fontId="4" fillId="2" borderId="5" xfId="0" applyNumberFormat="1" applyFont="1" applyFill="1" applyBorder="1" applyAlignment="1">
      <alignment horizontal="centerContinuous" wrapText="1"/>
    </xf>
    <xf numFmtId="49" fontId="4" fillId="3" borderId="5" xfId="0" applyNumberFormat="1" applyFont="1" applyFill="1" applyBorder="1" applyAlignment="1">
      <alignment horizontal="centerContinuous" wrapText="1"/>
    </xf>
    <xf numFmtId="166" fontId="4" fillId="3" borderId="0" xfId="0" applyNumberFormat="1" applyFont="1" applyFill="1"/>
    <xf numFmtId="166" fontId="4" fillId="3" borderId="1" xfId="0" applyNumberFormat="1" applyFont="1" applyFill="1" applyBorder="1"/>
    <xf numFmtId="166" fontId="4" fillId="3" borderId="0" xfId="0" applyNumberFormat="1" applyFont="1" applyFill="1" applyBorder="1"/>
    <xf numFmtId="166" fontId="4" fillId="3" borderId="2" xfId="0" applyNumberFormat="1" applyFont="1" applyFill="1" applyBorder="1"/>
    <xf numFmtId="166" fontId="4" fillId="3" borderId="3" xfId="0" applyNumberFormat="1" applyFont="1" applyFill="1" applyBorder="1"/>
    <xf numFmtId="166" fontId="3" fillId="3" borderId="4" xfId="0" applyNumberFormat="1" applyFont="1" applyFill="1" applyBorder="1"/>
    <xf numFmtId="49" fontId="8" fillId="0" borderId="0" xfId="0" applyNumberFormat="1" applyFont="1" applyAlignment="1">
      <alignment horizontal="center"/>
    </xf>
    <xf numFmtId="166" fontId="0" fillId="0" borderId="0" xfId="0" applyNumberFormat="1"/>
    <xf numFmtId="0" fontId="9" fillId="0" borderId="0" xfId="0" applyNumberFormat="1" applyFont="1"/>
    <xf numFmtId="168" fontId="4" fillId="0" borderId="16" xfId="0" applyNumberFormat="1" applyFont="1" applyBorder="1"/>
    <xf numFmtId="168" fontId="3" fillId="0" borderId="6" xfId="0" applyNumberFormat="1" applyFont="1" applyBorder="1"/>
    <xf numFmtId="168" fontId="3" fillId="0" borderId="7" xfId="0" applyNumberFormat="1" applyFont="1" applyBorder="1"/>
    <xf numFmtId="168" fontId="3" fillId="0" borderId="16" xfId="0" applyNumberFormat="1" applyFont="1" applyBorder="1"/>
    <xf numFmtId="49" fontId="10" fillId="0" borderId="0" xfId="0" applyNumberFormat="1" applyFont="1" applyBorder="1" applyAlignment="1">
      <alignment horizontal="centerContinuous"/>
    </xf>
    <xf numFmtId="49" fontId="3" fillId="3" borderId="5" xfId="0" applyNumberFormat="1" applyFont="1" applyFill="1" applyBorder="1" applyAlignment="1">
      <alignment horizontal="centerContinuous" wrapText="1"/>
    </xf>
    <xf numFmtId="168" fontId="4" fillId="3" borderId="6" xfId="0" applyNumberFormat="1" applyFont="1" applyFill="1" applyBorder="1"/>
    <xf numFmtId="168" fontId="4" fillId="3" borderId="9" xfId="0" applyNumberFormat="1" applyFont="1" applyFill="1" applyBorder="1"/>
    <xf numFmtId="168" fontId="4" fillId="3" borderId="0" xfId="0" applyNumberFormat="1" applyFont="1" applyFill="1"/>
    <xf numFmtId="168" fontId="4" fillId="3" borderId="2" xfId="0" applyNumberFormat="1" applyFont="1" applyFill="1" applyBorder="1"/>
    <xf numFmtId="168" fontId="4" fillId="3" borderId="8" xfId="0" applyNumberFormat="1" applyFont="1" applyFill="1" applyBorder="1"/>
    <xf numFmtId="168" fontId="4" fillId="3" borderId="3" xfId="0" applyNumberFormat="1" applyFont="1" applyFill="1" applyBorder="1"/>
    <xf numFmtId="168" fontId="0" fillId="0" borderId="0" xfId="0" applyNumberFormat="1"/>
    <xf numFmtId="49" fontId="3" fillId="0" borderId="16" xfId="0" applyNumberFormat="1" applyFont="1" applyBorder="1"/>
    <xf numFmtId="49" fontId="3" fillId="14" borderId="5" xfId="0" applyNumberFormat="1" applyFont="1" applyFill="1" applyBorder="1" applyAlignment="1">
      <alignment horizontal="centerContinuous" wrapText="1"/>
    </xf>
    <xf numFmtId="166" fontId="4" fillId="14" borderId="0" xfId="0" applyNumberFormat="1" applyFont="1" applyFill="1"/>
    <xf numFmtId="168" fontId="4" fillId="14" borderId="6" xfId="0" applyNumberFormat="1" applyFont="1" applyFill="1" applyBorder="1"/>
    <xf numFmtId="168" fontId="4" fillId="14" borderId="9" xfId="0" applyNumberFormat="1" applyFont="1" applyFill="1" applyBorder="1"/>
    <xf numFmtId="168" fontId="4" fillId="14" borderId="0" xfId="0" applyNumberFormat="1" applyFont="1" applyFill="1"/>
    <xf numFmtId="168" fontId="4" fillId="14" borderId="2" xfId="0" applyNumberFormat="1" applyFont="1" applyFill="1" applyBorder="1"/>
    <xf numFmtId="168" fontId="4" fillId="14" borderId="8" xfId="0" applyNumberFormat="1" applyFont="1" applyFill="1" applyBorder="1"/>
    <xf numFmtId="168" fontId="4" fillId="14" borderId="3" xfId="0" applyNumberFormat="1" applyFont="1" applyFill="1" applyBorder="1"/>
    <xf numFmtId="49" fontId="3" fillId="15" borderId="5" xfId="0" applyNumberFormat="1" applyFont="1" applyFill="1" applyBorder="1" applyAlignment="1">
      <alignment horizontal="centerContinuous" wrapText="1"/>
    </xf>
    <xf numFmtId="166" fontId="4" fillId="15" borderId="0" xfId="0" applyNumberFormat="1" applyFont="1" applyFill="1"/>
    <xf numFmtId="168" fontId="4" fillId="15" borderId="6" xfId="0" applyNumberFormat="1" applyFont="1" applyFill="1" applyBorder="1"/>
    <xf numFmtId="168" fontId="4" fillId="15" borderId="9" xfId="0" applyNumberFormat="1" applyFont="1" applyFill="1" applyBorder="1"/>
    <xf numFmtId="168" fontId="4" fillId="15" borderId="0" xfId="0" applyNumberFormat="1" applyFont="1" applyFill="1"/>
    <xf numFmtId="168" fontId="4" fillId="15" borderId="2" xfId="0" applyNumberFormat="1" applyFont="1" applyFill="1" applyBorder="1"/>
    <xf numFmtId="168" fontId="4" fillId="15" borderId="8" xfId="0" applyNumberFormat="1" applyFont="1" applyFill="1" applyBorder="1"/>
    <xf numFmtId="168" fontId="4" fillId="15" borderId="3" xfId="0" applyNumberFormat="1" applyFont="1" applyFill="1" applyBorder="1"/>
    <xf numFmtId="168" fontId="3" fillId="15" borderId="7" xfId="0" applyNumberFormat="1" applyFont="1" applyFill="1" applyBorder="1"/>
    <xf numFmtId="168" fontId="3" fillId="3" borderId="7" xfId="0" applyNumberFormat="1" applyFont="1" applyFill="1" applyBorder="1"/>
    <xf numFmtId="168" fontId="3" fillId="14" borderId="7" xfId="0" applyNumberFormat="1" applyFont="1" applyFill="1" applyBorder="1"/>
    <xf numFmtId="9" fontId="3" fillId="0" borderId="7" xfId="15" applyFont="1" applyBorder="1"/>
    <xf numFmtId="168" fontId="11" fillId="0" borderId="0" xfId="0" applyNumberFormat="1" applyFont="1"/>
    <xf numFmtId="49" fontId="3" fillId="0" borderId="17" xfId="0" applyNumberFormat="1" applyFont="1" applyBorder="1"/>
    <xf numFmtId="168" fontId="4" fillId="0" borderId="17" xfId="0" applyNumberFormat="1" applyFont="1" applyBorder="1"/>
    <xf numFmtId="9" fontId="4" fillId="0" borderId="17" xfId="15" applyFont="1" applyFill="1" applyBorder="1"/>
    <xf numFmtId="0" fontId="0" fillId="0" borderId="17" xfId="0" applyFill="1" applyBorder="1"/>
    <xf numFmtId="0" fontId="7" fillId="0" borderId="18" xfId="0" applyNumberFormat="1" applyFont="1" applyFill="1" applyBorder="1" applyAlignment="1">
      <alignment horizontal="centerContinuous" wrapText="1"/>
    </xf>
    <xf numFmtId="166" fontId="4" fillId="0" borderId="0" xfId="0" applyNumberFormat="1" applyFont="1" applyFill="1"/>
    <xf numFmtId="168" fontId="4" fillId="0" borderId="6" xfId="0" applyNumberFormat="1" applyFont="1" applyFill="1" applyBorder="1"/>
    <xf numFmtId="168" fontId="4" fillId="0" borderId="9" xfId="0" applyNumberFormat="1" applyFont="1" applyFill="1" applyBorder="1"/>
    <xf numFmtId="168" fontId="4" fillId="0" borderId="0" xfId="0" applyNumberFormat="1" applyFont="1" applyFill="1"/>
    <xf numFmtId="168" fontId="4" fillId="0" borderId="2" xfId="0" applyNumberFormat="1" applyFont="1" applyFill="1" applyBorder="1"/>
    <xf numFmtId="168" fontId="4" fillId="0" borderId="8" xfId="0" applyNumberFormat="1" applyFont="1" applyFill="1" applyBorder="1"/>
    <xf numFmtId="168" fontId="4" fillId="0" borderId="3" xfId="0" applyNumberFormat="1" applyFont="1" applyFill="1" applyBorder="1"/>
    <xf numFmtId="168" fontId="3" fillId="0" borderId="7" xfId="0" applyNumberFormat="1" applyFont="1" applyFill="1" applyBorder="1"/>
    <xf numFmtId="168" fontId="4" fillId="0" borderId="17" xfId="0" applyNumberFormat="1" applyFont="1" applyFill="1" applyBorder="1"/>
    <xf numFmtId="168" fontId="3" fillId="0" borderId="6" xfId="0" applyNumberFormat="1" applyFont="1" applyFill="1" applyBorder="1"/>
    <xf numFmtId="168" fontId="3" fillId="0" borderId="16" xfId="0" applyNumberFormat="1" applyFont="1" applyFill="1" applyBorder="1"/>
    <xf numFmtId="49" fontId="3" fillId="0" borderId="8" xfId="0" applyNumberFormat="1" applyFont="1" applyFill="1" applyBorder="1" applyAlignment="1">
      <alignment horizontal="centerContinuous" wrapText="1"/>
    </xf>
    <xf numFmtId="49" fontId="3" fillId="0" borderId="8" xfId="0" applyNumberFormat="1" applyFont="1" applyBorder="1" applyAlignment="1">
      <alignment horizontal="centerContinuous" wrapText="1"/>
    </xf>
    <xf numFmtId="0" fontId="7" fillId="0" borderId="9" xfId="0" applyNumberFormat="1" applyFont="1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166" fontId="4" fillId="6" borderId="0" xfId="0" applyNumberFormat="1" applyFont="1" applyFill="1"/>
    <xf numFmtId="168" fontId="4" fillId="6" borderId="6" xfId="0" applyNumberFormat="1" applyFont="1" applyFill="1" applyBorder="1"/>
    <xf numFmtId="168" fontId="4" fillId="6" borderId="9" xfId="0" applyNumberFormat="1" applyFont="1" applyFill="1" applyBorder="1"/>
    <xf numFmtId="168" fontId="4" fillId="6" borderId="0" xfId="0" applyNumberFormat="1" applyFont="1" applyFill="1"/>
    <xf numFmtId="168" fontId="4" fillId="6" borderId="2" xfId="0" applyNumberFormat="1" applyFont="1" applyFill="1" applyBorder="1"/>
    <xf numFmtId="168" fontId="4" fillId="6" borderId="8" xfId="0" applyNumberFormat="1" applyFont="1" applyFill="1" applyBorder="1"/>
    <xf numFmtId="168" fontId="4" fillId="6" borderId="3" xfId="0" applyNumberFormat="1" applyFont="1" applyFill="1" applyBorder="1"/>
    <xf numFmtId="168" fontId="3" fillId="6" borderId="7" xfId="0" applyNumberFormat="1" applyFont="1" applyFill="1" applyBorder="1"/>
    <xf numFmtId="168" fontId="4" fillId="6" borderId="17" xfId="0" applyNumberFormat="1" applyFont="1" applyFill="1" applyBorder="1"/>
    <xf numFmtId="168" fontId="3" fillId="6" borderId="6" xfId="0" applyNumberFormat="1" applyFont="1" applyFill="1" applyBorder="1"/>
    <xf numFmtId="168" fontId="3" fillId="6" borderId="16" xfId="0" applyNumberFormat="1" applyFont="1" applyFill="1" applyBorder="1"/>
    <xf numFmtId="49" fontId="3" fillId="6" borderId="17" xfId="0" applyNumberFormat="1" applyFont="1" applyFill="1" applyBorder="1" applyAlignment="1">
      <alignment horizontal="centerContinuous" wrapText="1"/>
    </xf>
    <xf numFmtId="49" fontId="3" fillId="0" borderId="17" xfId="0" applyNumberFormat="1" applyFont="1" applyBorder="1" applyAlignment="1">
      <alignment horizontal="center"/>
    </xf>
    <xf numFmtId="0" fontId="12" fillId="0" borderId="0" xfId="0" applyFont="1"/>
    <xf numFmtId="0" fontId="0" fillId="16" borderId="0" xfId="0" applyFill="1"/>
    <xf numFmtId="9" fontId="4" fillId="16" borderId="0" xfId="15" applyFont="1" applyFill="1" applyBorder="1"/>
    <xf numFmtId="9" fontId="3" fillId="16" borderId="0" xfId="15" applyFont="1" applyFill="1" applyBorder="1"/>
    <xf numFmtId="0" fontId="7" fillId="6" borderId="19" xfId="0" applyNumberFormat="1" applyFont="1" applyFill="1" applyBorder="1" applyAlignment="1">
      <alignment horizontal="center" wrapText="1"/>
    </xf>
    <xf numFmtId="0" fontId="7" fillId="6" borderId="20" xfId="0" applyNumberFormat="1" applyFont="1" applyFill="1" applyBorder="1" applyAlignment="1">
      <alignment horizontal="center" wrapText="1"/>
    </xf>
    <xf numFmtId="0" fontId="7" fillId="6" borderId="21" xfId="0" applyNumberFormat="1" applyFont="1" applyFill="1" applyBorder="1" applyAlignment="1">
      <alignment horizontal="center" wrapText="1"/>
    </xf>
    <xf numFmtId="10" fontId="4" fillId="6" borderId="6" xfId="15" applyNumberFormat="1" applyFont="1" applyFill="1" applyBorder="1"/>
    <xf numFmtId="171" fontId="4" fillId="0" borderId="6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447675</xdr:colOff>
      <xdr:row>2</xdr:row>
      <xdr:rowOff>171450</xdr:rowOff>
    </xdr:to>
    <xdr:pic>
      <xdr:nvPicPr>
        <xdr:cNvPr id="1025" name="FILTER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73342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447675</xdr:colOff>
      <xdr:row>2</xdr:row>
      <xdr:rowOff>171450</xdr:rowOff>
    </xdr:to>
    <xdr:pic>
      <xdr:nvPicPr>
        <xdr:cNvPr id="1026" name="HEADER" hidden="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73342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447675</xdr:colOff>
      <xdr:row>2</xdr:row>
      <xdr:rowOff>171450</xdr:rowOff>
    </xdr:to>
    <xdr:pic>
      <xdr:nvPicPr>
        <xdr:cNvPr id="37889" name="FILTER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73342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447675</xdr:colOff>
      <xdr:row>2</xdr:row>
      <xdr:rowOff>171450</xdr:rowOff>
    </xdr:to>
    <xdr:pic>
      <xdr:nvPicPr>
        <xdr:cNvPr id="37890" name="HEADER" hidden="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73342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1</xdr:row>
      <xdr:rowOff>28575</xdr:rowOff>
    </xdr:to>
    <xdr:pic>
      <xdr:nvPicPr>
        <xdr:cNvPr id="2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1</xdr:row>
      <xdr:rowOff>28575</xdr:rowOff>
    </xdr:to>
    <xdr:pic>
      <xdr:nvPicPr>
        <xdr:cNvPr id="3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Chong\AppData\Local\Microsoft\Windows\Temporary%20Internet%20Files\Content.IE5\SOU2IYSP\2016%20CABE%20Inc%20and%20exp%20-%207%20mos%20actual%20and%205%20mos%20forecas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vette\Documents\CABE%20(California%20Association%20for%20Bilingual%20Education)\Quarterly%20&amp;%20Monthly%20reviews\2016\2015-08%20(Aug)\2015%2008%2031%20-%20CABE%20Financials%20Workbook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vette\Documents\CABE%20(California%20Association%20for%20Bilingual%20Education)\Quarterly%20&amp;%20Monthly%20reviews\2016\2015-07%20(Jul)\2015%2007%2031%20-%20CABE%20Financials%20Workbook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ries"/>
      <sheetName val="10 Mos Actual"/>
      <sheetName val="11 Mos Actual"/>
      <sheetName val="Sum by Prog"/>
      <sheetName val="Sum by Mo"/>
      <sheetName val="01-G&amp;A"/>
      <sheetName val="02-BOD"/>
      <sheetName val="03-Presidents"/>
      <sheetName val="05-IT"/>
      <sheetName val="10-Gen Mem"/>
      <sheetName val="11 Chpt Act"/>
      <sheetName val="12 Lang Mag"/>
      <sheetName val="13 Multi Ed"/>
      <sheetName val="19 JDA Annual Conf"/>
      <sheetName val="20 Annual Conf"/>
      <sheetName val="30 PDS total"/>
      <sheetName val="30.1 Consulting Proj"/>
      <sheetName val="30.2 Invitational Events"/>
      <sheetName val="30.3 Site PD"/>
      <sheetName val="30.4 Bus Development"/>
      <sheetName val="31 Sac"/>
      <sheetName val="33 LB&amp;OC"/>
      <sheetName val="35 Inland Empire"/>
      <sheetName val="36 Bakerfield"/>
      <sheetName val="39 Monterey"/>
      <sheetName val="45 2Ways CABE"/>
      <sheetName val="47 Jornade"/>
      <sheetName val="60 Books_Cassettes"/>
      <sheetName val="61 CABE Store"/>
      <sheetName val="62 Mailing Lists"/>
      <sheetName val="70 Teacherships"/>
      <sheetName val="80 Adv_Legislative"/>
      <sheetName val="81 PR"/>
      <sheetName val="83 i3 Grant"/>
      <sheetName val="96-PC"/>
      <sheetName val="95 P2I"/>
      <sheetName val="TEMPLATE"/>
    </sheetNames>
    <sheetDataSet>
      <sheetData sheetId="0"/>
      <sheetData sheetId="1"/>
      <sheetData sheetId="2"/>
      <sheetData sheetId="3"/>
      <sheetData sheetId="4">
        <row r="6">
          <cell r="S6">
            <v>45499.99999999999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FY14 vs. FY13 BS_DO NOT PRINT"/>
      <sheetName val="IS_ DO NOT PRINT"/>
      <sheetName val="Cover Sheet"/>
      <sheetName val="Stmt of fin position"/>
      <sheetName val="Stmt of Act"/>
      <sheetName val="Stmt of $ Flows"/>
      <sheetName val="AR"/>
      <sheetName val="Grant Receivable"/>
      <sheetName val="Inventory"/>
      <sheetName val="PP Exp"/>
      <sheetName val="EE Advance"/>
      <sheetName val="P&amp;P Worksheet"/>
      <sheetName val="P&amp;P"/>
      <sheetName val="AP"/>
      <sheetName val="Other AP"/>
      <sheetName val="Accrued Vac"/>
      <sheetName val="Earned Inc"/>
      <sheetName val="Note Payable"/>
      <sheetName val="Alloc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I1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FY14 vs. FY13 BS_DO NOT PRINT"/>
      <sheetName val="IS_ DO NOT PRINT"/>
      <sheetName val="Cover Sheet"/>
      <sheetName val="Stmt of fin position"/>
      <sheetName val="Stmt of Act"/>
      <sheetName val="Stmt of $ Flows"/>
      <sheetName val="AR"/>
      <sheetName val="Grant Receivable"/>
      <sheetName val="Inventory"/>
      <sheetName val="PP Exp"/>
      <sheetName val="EE Advance"/>
      <sheetName val="P&amp;P Worksheet"/>
      <sheetName val="P&amp;P"/>
      <sheetName val="AP"/>
      <sheetName val="Other AP"/>
      <sheetName val="Accrued Vac"/>
      <sheetName val="Earned Inc"/>
      <sheetName val="Note Payable"/>
      <sheetName val="Alloc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F23">
            <v>0</v>
          </cell>
        </row>
        <row r="24">
          <cell r="F2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15"/>
  <sheetViews>
    <sheetView workbookViewId="0" topLeftCell="A1">
      <pane xSplit="4" ySplit="4" topLeftCell="E95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515625" defaultRowHeight="15"/>
  <cols>
    <col min="1" max="3" width="1.421875" style="18" customWidth="1"/>
    <col min="4" max="4" width="26.28125" style="18" customWidth="1"/>
    <col min="5" max="7" width="12.28125" style="19" bestFit="1" customWidth="1"/>
    <col min="8" max="8" width="12.28125" style="19" hidden="1" customWidth="1"/>
    <col min="9" max="9" width="8.7109375" style="19" customWidth="1"/>
    <col min="10" max="10" width="12.28125" style="19" bestFit="1" customWidth="1"/>
    <col min="11" max="11" width="9.421875" style="19" customWidth="1"/>
    <col min="12" max="13" width="12.28125" style="19" bestFit="1" customWidth="1"/>
    <col min="14" max="27" width="12.28125" style="19" customWidth="1"/>
    <col min="28" max="28" width="10.421875" style="19" customWidth="1"/>
    <col min="29" max="29" width="7.7109375" style="19" customWidth="1"/>
    <col min="30" max="30" width="11.421875" style="19" customWidth="1"/>
    <col min="31" max="31" width="8.421875" style="19" customWidth="1"/>
    <col min="32" max="32" width="9.00390625" style="19" customWidth="1"/>
    <col min="33" max="33" width="10.421875" style="19" customWidth="1"/>
    <col min="34" max="35" width="12.28125" style="19" customWidth="1"/>
    <col min="36" max="39" width="11.00390625" style="19" customWidth="1"/>
    <col min="40" max="41" width="8.421875" style="19" customWidth="1"/>
    <col min="42" max="42" width="12.00390625" style="66" customWidth="1"/>
    <col min="43" max="43" width="8.421875" style="19" customWidth="1"/>
    <col min="44" max="44" width="11.421875" style="19" customWidth="1"/>
    <col min="45" max="45" width="6.421875" style="19" bestFit="1" customWidth="1"/>
  </cols>
  <sheetData>
    <row r="1" ht="15.75">
      <c r="D1" s="35" t="s">
        <v>145</v>
      </c>
    </row>
    <row r="2" ht="15">
      <c r="D2" s="36" t="s">
        <v>146</v>
      </c>
    </row>
    <row r="3" spans="1:45" ht="60.75" thickBo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0" t="s">
        <v>10</v>
      </c>
      <c r="Q3" s="20" t="s">
        <v>11</v>
      </c>
      <c r="R3" s="20" t="s">
        <v>12</v>
      </c>
      <c r="S3" s="20" t="s">
        <v>13</v>
      </c>
      <c r="T3" s="20" t="s">
        <v>14</v>
      </c>
      <c r="U3" s="21" t="s">
        <v>143</v>
      </c>
      <c r="V3" s="20" t="s">
        <v>17</v>
      </c>
      <c r="W3" s="20" t="s">
        <v>148</v>
      </c>
      <c r="X3" s="20" t="s">
        <v>149</v>
      </c>
      <c r="Y3" s="20" t="s">
        <v>18</v>
      </c>
      <c r="AB3" s="20" t="s">
        <v>19</v>
      </c>
      <c r="AC3" s="28" t="s">
        <v>143</v>
      </c>
      <c r="AD3" s="2"/>
      <c r="AE3" s="2"/>
      <c r="AF3" s="2"/>
      <c r="AG3" s="2"/>
      <c r="AH3" s="2"/>
      <c r="AI3" s="2"/>
      <c r="AJ3" s="2"/>
      <c r="AK3" s="2"/>
      <c r="AL3" s="2"/>
      <c r="AM3" s="3" t="s">
        <v>30</v>
      </c>
      <c r="AN3" s="2"/>
      <c r="AO3" s="2"/>
      <c r="AP3" s="67"/>
      <c r="AQ3" s="2"/>
      <c r="AR3" s="2"/>
      <c r="AS3" s="2"/>
    </row>
    <row r="4" spans="1:45" ht="35.25" thickBot="1">
      <c r="A4" s="1"/>
      <c r="B4" s="1"/>
      <c r="C4" s="1"/>
      <c r="D4" s="18" t="s">
        <v>147</v>
      </c>
      <c r="E4" s="54" t="s">
        <v>151</v>
      </c>
      <c r="F4" s="54" t="s">
        <v>152</v>
      </c>
      <c r="G4" s="54" t="s">
        <v>0</v>
      </c>
      <c r="H4" s="54" t="s">
        <v>1</v>
      </c>
      <c r="I4" s="54" t="s">
        <v>2</v>
      </c>
      <c r="J4" s="55" t="s">
        <v>3</v>
      </c>
      <c r="K4" s="55" t="s">
        <v>4</v>
      </c>
      <c r="L4" s="55" t="s">
        <v>5</v>
      </c>
      <c r="M4" s="55" t="s">
        <v>6</v>
      </c>
      <c r="N4" s="55" t="s">
        <v>7</v>
      </c>
      <c r="O4" s="55" t="s">
        <v>8</v>
      </c>
      <c r="P4" s="56" t="s">
        <v>9</v>
      </c>
      <c r="Q4" s="56" t="s">
        <v>9</v>
      </c>
      <c r="R4" s="56" t="s">
        <v>9</v>
      </c>
      <c r="S4" s="56" t="s">
        <v>9</v>
      </c>
      <c r="T4" s="56" t="s">
        <v>9</v>
      </c>
      <c r="U4" s="57" t="s">
        <v>15</v>
      </c>
      <c r="V4" s="56" t="s">
        <v>16</v>
      </c>
      <c r="W4" s="56" t="s">
        <v>16</v>
      </c>
      <c r="X4" s="56" t="s">
        <v>16</v>
      </c>
      <c r="Y4" s="56" t="s">
        <v>16</v>
      </c>
      <c r="Z4" s="56" t="s">
        <v>16</v>
      </c>
      <c r="AA4" s="58" t="s">
        <v>20</v>
      </c>
      <c r="AB4" s="56" t="s">
        <v>21</v>
      </c>
      <c r="AC4" s="56" t="s">
        <v>22</v>
      </c>
      <c r="AD4" s="56" t="s">
        <v>144</v>
      </c>
      <c r="AE4" s="56" t="s">
        <v>23</v>
      </c>
      <c r="AF4" s="56" t="s">
        <v>24</v>
      </c>
      <c r="AG4" s="56" t="s">
        <v>153</v>
      </c>
      <c r="AH4" s="54" t="s">
        <v>25</v>
      </c>
      <c r="AI4" s="54" t="s">
        <v>26</v>
      </c>
      <c r="AJ4" s="59" t="s">
        <v>27</v>
      </c>
      <c r="AK4" s="59" t="s">
        <v>28</v>
      </c>
      <c r="AL4" s="59" t="s">
        <v>29</v>
      </c>
      <c r="AM4" s="75" t="s">
        <v>150</v>
      </c>
      <c r="AN4" s="61" t="s">
        <v>31</v>
      </c>
      <c r="AO4" s="60" t="s">
        <v>169</v>
      </c>
      <c r="AP4" s="68" t="s">
        <v>167</v>
      </c>
      <c r="AQ4" s="61" t="s">
        <v>168</v>
      </c>
      <c r="AR4" s="60" t="s">
        <v>32</v>
      </c>
      <c r="AS4" s="60" t="s">
        <v>33</v>
      </c>
    </row>
    <row r="5" spans="1:45" ht="15">
      <c r="A5" s="1"/>
      <c r="B5" s="1"/>
      <c r="C5" s="1" t="s">
        <v>34</v>
      </c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2"/>
      <c r="V5" s="4"/>
      <c r="W5" s="4"/>
      <c r="X5" s="4"/>
      <c r="Y5" s="4"/>
      <c r="Z5" s="4"/>
      <c r="AA5" s="29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76"/>
      <c r="AN5" s="4"/>
      <c r="AO5" s="4"/>
      <c r="AP5" s="69"/>
      <c r="AQ5" s="4"/>
      <c r="AR5" s="4"/>
      <c r="AS5" s="5"/>
    </row>
    <row r="6" spans="1:45" ht="15">
      <c r="A6" s="1"/>
      <c r="B6" s="1"/>
      <c r="C6" s="1"/>
      <c r="D6" s="1" t="s">
        <v>35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10937</v>
      </c>
      <c r="K6" s="4">
        <v>0</v>
      </c>
      <c r="L6" s="4">
        <v>0</v>
      </c>
      <c r="M6" s="4">
        <v>0</v>
      </c>
      <c r="N6" s="4">
        <v>0</v>
      </c>
      <c r="O6" s="4">
        <v>5395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22">
        <f aca="true" t="shared" si="0" ref="U6:U37">ROUND(P6+Q6+R6+S6+T6,5)</f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29">
        <f aca="true" t="shared" si="1" ref="AA6:AA37">ROUND(V6+W6+X6+Y6+Z6,5)</f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76">
        <f aca="true" t="shared" si="2" ref="AM6:AM36">ROUND(E6+F6+G6+H6+I6+J6+K6+L6+M6+N6+O6+U6+AA6+AB6+AC6+AD6+AE6+AF6+AG6+AH6+AI6+AJ6+AK6+AL6,5)</f>
        <v>16332</v>
      </c>
      <c r="AN6" s="4">
        <v>45456</v>
      </c>
      <c r="AO6" s="4">
        <f>AM6/10*2</f>
        <v>3266.4</v>
      </c>
      <c r="AP6" s="69">
        <f>+AM6+AO6</f>
        <v>19598.4</v>
      </c>
      <c r="AQ6" s="4">
        <f>+AP6-AN6</f>
        <v>-25857.6</v>
      </c>
      <c r="AR6" s="4">
        <f aca="true" t="shared" si="3" ref="AR6:AR37">ROUND((AM6-AN6),5)</f>
        <v>-29124</v>
      </c>
      <c r="AS6" s="5">
        <f aca="true" t="shared" si="4" ref="AS6:AS37">ROUND(IF(AN6=0,IF(AM6=0,0,1),AM6/AN6),5)</f>
        <v>0.35929</v>
      </c>
    </row>
    <row r="7" spans="1:45" ht="15">
      <c r="A7" s="1"/>
      <c r="B7" s="1"/>
      <c r="C7" s="1"/>
      <c r="D7" s="1" t="s">
        <v>36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348</v>
      </c>
      <c r="K7" s="4">
        <v>0</v>
      </c>
      <c r="L7" s="4">
        <v>0</v>
      </c>
      <c r="M7" s="4">
        <v>0</v>
      </c>
      <c r="N7" s="4">
        <v>0</v>
      </c>
      <c r="O7" s="4">
        <v>105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22">
        <f t="shared" si="0"/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29">
        <f t="shared" si="1"/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76">
        <f t="shared" si="2"/>
        <v>453</v>
      </c>
      <c r="AN7" s="4">
        <v>3000</v>
      </c>
      <c r="AO7" s="4">
        <f aca="true" t="shared" si="5" ref="AO7:AO36">AM7/10*2</f>
        <v>90.6</v>
      </c>
      <c r="AP7" s="69">
        <f aca="true" t="shared" si="6" ref="AP7:AP36">+AM7+AO7</f>
        <v>543.6</v>
      </c>
      <c r="AQ7" s="4">
        <f aca="true" t="shared" si="7" ref="AQ7:AQ36">+AP7-AN7</f>
        <v>-2456.4</v>
      </c>
      <c r="AR7" s="4">
        <f t="shared" si="3"/>
        <v>-2547</v>
      </c>
      <c r="AS7" s="5">
        <f t="shared" si="4"/>
        <v>0.151</v>
      </c>
    </row>
    <row r="8" spans="1:45" ht="15">
      <c r="A8" s="1"/>
      <c r="B8" s="1"/>
      <c r="C8" s="1"/>
      <c r="D8" s="1" t="s">
        <v>37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580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22">
        <f t="shared" si="0"/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29">
        <f t="shared" si="1"/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76">
        <f t="shared" si="2"/>
        <v>580</v>
      </c>
      <c r="AN8" s="4">
        <v>6000</v>
      </c>
      <c r="AO8" s="4">
        <f t="shared" si="5"/>
        <v>116</v>
      </c>
      <c r="AP8" s="69">
        <f t="shared" si="6"/>
        <v>696</v>
      </c>
      <c r="AQ8" s="4">
        <f t="shared" si="7"/>
        <v>-5304</v>
      </c>
      <c r="AR8" s="4">
        <f t="shared" si="3"/>
        <v>-5420</v>
      </c>
      <c r="AS8" s="5">
        <f t="shared" si="4"/>
        <v>0.09667</v>
      </c>
    </row>
    <row r="9" spans="1:45" ht="15">
      <c r="A9" s="1"/>
      <c r="B9" s="1"/>
      <c r="C9" s="1"/>
      <c r="D9" s="1" t="s">
        <v>38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22">
        <f t="shared" si="0"/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29">
        <f t="shared" si="1"/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76">
        <f t="shared" si="2"/>
        <v>0</v>
      </c>
      <c r="AN9" s="4">
        <v>2400</v>
      </c>
      <c r="AO9" s="4">
        <f t="shared" si="5"/>
        <v>0</v>
      </c>
      <c r="AP9" s="69">
        <f t="shared" si="6"/>
        <v>0</v>
      </c>
      <c r="AQ9" s="4">
        <f t="shared" si="7"/>
        <v>-2400</v>
      </c>
      <c r="AR9" s="4">
        <f t="shared" si="3"/>
        <v>-2400</v>
      </c>
      <c r="AS9" s="5">
        <f t="shared" si="4"/>
        <v>0</v>
      </c>
    </row>
    <row r="10" spans="1:45" ht="15">
      <c r="A10" s="1"/>
      <c r="B10" s="1"/>
      <c r="C10" s="1"/>
      <c r="D10" s="1" t="s">
        <v>39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500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22">
        <f t="shared" si="0"/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29">
        <f t="shared" si="1"/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76">
        <f t="shared" si="2"/>
        <v>500</v>
      </c>
      <c r="AN10" s="4">
        <v>3600</v>
      </c>
      <c r="AO10" s="4">
        <f t="shared" si="5"/>
        <v>100</v>
      </c>
      <c r="AP10" s="69">
        <f t="shared" si="6"/>
        <v>600</v>
      </c>
      <c r="AQ10" s="4">
        <f t="shared" si="7"/>
        <v>-3000</v>
      </c>
      <c r="AR10" s="4">
        <f t="shared" si="3"/>
        <v>-3100</v>
      </c>
      <c r="AS10" s="5">
        <f t="shared" si="4"/>
        <v>0.13889</v>
      </c>
    </row>
    <row r="11" spans="1:45" ht="15">
      <c r="A11" s="1"/>
      <c r="B11" s="1"/>
      <c r="C11" s="1"/>
      <c r="D11" s="1" t="s">
        <v>40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1907</v>
      </c>
      <c r="K11" s="4">
        <v>0</v>
      </c>
      <c r="L11" s="4">
        <v>0</v>
      </c>
      <c r="M11" s="4">
        <v>0</v>
      </c>
      <c r="N11" s="4">
        <v>0</v>
      </c>
      <c r="O11" s="4">
        <v>2430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22">
        <f t="shared" si="0"/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29">
        <f t="shared" si="1"/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76">
        <f t="shared" si="2"/>
        <v>4337</v>
      </c>
      <c r="AN11" s="4">
        <v>14400</v>
      </c>
      <c r="AO11" s="4">
        <f t="shared" si="5"/>
        <v>867.4</v>
      </c>
      <c r="AP11" s="69">
        <f t="shared" si="6"/>
        <v>5204.4</v>
      </c>
      <c r="AQ11" s="4">
        <f t="shared" si="7"/>
        <v>-9195.6</v>
      </c>
      <c r="AR11" s="4">
        <f t="shared" si="3"/>
        <v>-10063</v>
      </c>
      <c r="AS11" s="5">
        <f t="shared" si="4"/>
        <v>0.30118</v>
      </c>
    </row>
    <row r="12" spans="1:45" ht="15">
      <c r="A12" s="1"/>
      <c r="B12" s="1"/>
      <c r="C12" s="1"/>
      <c r="D12" s="1" t="s">
        <v>41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22">
        <f t="shared" si="0"/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29">
        <f t="shared" si="1"/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76">
        <f t="shared" si="2"/>
        <v>0</v>
      </c>
      <c r="AN12" s="4">
        <v>1848</v>
      </c>
      <c r="AO12" s="4">
        <f t="shared" si="5"/>
        <v>0</v>
      </c>
      <c r="AP12" s="69">
        <f t="shared" si="6"/>
        <v>0</v>
      </c>
      <c r="AQ12" s="4">
        <f t="shared" si="7"/>
        <v>-1848</v>
      </c>
      <c r="AR12" s="4">
        <f t="shared" si="3"/>
        <v>-1848</v>
      </c>
      <c r="AS12" s="5">
        <f t="shared" si="4"/>
        <v>0</v>
      </c>
    </row>
    <row r="13" spans="1:45" ht="15">
      <c r="A13" s="1"/>
      <c r="B13" s="1"/>
      <c r="C13" s="1"/>
      <c r="D13" s="1" t="s">
        <v>42</v>
      </c>
      <c r="E13" s="4">
        <v>-3200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1667077</v>
      </c>
      <c r="P13" s="4">
        <v>21965</v>
      </c>
      <c r="Q13" s="4">
        <v>102450</v>
      </c>
      <c r="R13" s="4">
        <v>0</v>
      </c>
      <c r="S13" s="4">
        <v>29350</v>
      </c>
      <c r="T13" s="4">
        <v>210</v>
      </c>
      <c r="U13" s="22">
        <f t="shared" si="0"/>
        <v>153975</v>
      </c>
      <c r="V13" s="4">
        <v>21360</v>
      </c>
      <c r="W13" s="4">
        <v>0</v>
      </c>
      <c r="X13" s="4">
        <v>49850</v>
      </c>
      <c r="Y13" s="4">
        <v>15925</v>
      </c>
      <c r="Z13" s="4">
        <v>22310</v>
      </c>
      <c r="AA13" s="29">
        <f t="shared" si="1"/>
        <v>109445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76">
        <f t="shared" si="2"/>
        <v>1927297</v>
      </c>
      <c r="AN13" s="4">
        <v>1408375</v>
      </c>
      <c r="AO13" s="4">
        <v>26700</v>
      </c>
      <c r="AP13" s="69">
        <f t="shared" si="6"/>
        <v>1953997</v>
      </c>
      <c r="AQ13" s="4">
        <f t="shared" si="7"/>
        <v>545622</v>
      </c>
      <c r="AR13" s="4">
        <f t="shared" si="3"/>
        <v>518922</v>
      </c>
      <c r="AS13" s="5">
        <f t="shared" si="4"/>
        <v>1.36845</v>
      </c>
    </row>
    <row r="14" spans="1:45" ht="15">
      <c r="A14" s="1"/>
      <c r="B14" s="1"/>
      <c r="C14" s="1"/>
      <c r="D14" s="1" t="s">
        <v>43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47850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22">
        <f t="shared" si="0"/>
        <v>0</v>
      </c>
      <c r="V14" s="4">
        <v>725</v>
      </c>
      <c r="W14" s="4">
        <v>0</v>
      </c>
      <c r="X14" s="4">
        <v>1175</v>
      </c>
      <c r="Y14" s="4">
        <v>200</v>
      </c>
      <c r="Z14" s="4">
        <v>1025</v>
      </c>
      <c r="AA14" s="29">
        <f t="shared" si="1"/>
        <v>3125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76">
        <f t="shared" si="2"/>
        <v>50975</v>
      </c>
      <c r="AN14" s="4">
        <v>57750</v>
      </c>
      <c r="AO14" s="4"/>
      <c r="AP14" s="69">
        <f t="shared" si="6"/>
        <v>50975</v>
      </c>
      <c r="AQ14" s="4">
        <f t="shared" si="7"/>
        <v>-6775</v>
      </c>
      <c r="AR14" s="4">
        <f t="shared" si="3"/>
        <v>-6775</v>
      </c>
      <c r="AS14" s="5">
        <f t="shared" si="4"/>
        <v>0.88268</v>
      </c>
    </row>
    <row r="15" spans="1:45" ht="15">
      <c r="A15" s="1"/>
      <c r="B15" s="1"/>
      <c r="C15" s="1"/>
      <c r="D15" s="1" t="s">
        <v>44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400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22">
        <f t="shared" si="0"/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29">
        <f t="shared" si="1"/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76">
        <f t="shared" si="2"/>
        <v>400</v>
      </c>
      <c r="AN15" s="4">
        <v>4400</v>
      </c>
      <c r="AO15" s="4"/>
      <c r="AP15" s="69">
        <f t="shared" si="6"/>
        <v>400</v>
      </c>
      <c r="AQ15" s="4">
        <f t="shared" si="7"/>
        <v>-4000</v>
      </c>
      <c r="AR15" s="4">
        <f t="shared" si="3"/>
        <v>-4000</v>
      </c>
      <c r="AS15" s="5">
        <f t="shared" si="4"/>
        <v>0.09091</v>
      </c>
    </row>
    <row r="16" spans="1:45" ht="15">
      <c r="A16" s="1"/>
      <c r="B16" s="1"/>
      <c r="C16" s="1"/>
      <c r="D16" s="1" t="s">
        <v>45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1055</v>
      </c>
      <c r="P16" s="4">
        <v>0</v>
      </c>
      <c r="Q16" s="4">
        <v>-120</v>
      </c>
      <c r="R16" s="4">
        <v>0</v>
      </c>
      <c r="S16" s="4">
        <v>0</v>
      </c>
      <c r="T16" s="4">
        <v>0</v>
      </c>
      <c r="U16" s="22">
        <f t="shared" si="0"/>
        <v>-120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29">
        <f t="shared" si="1"/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76">
        <f t="shared" si="2"/>
        <v>935</v>
      </c>
      <c r="AN16" s="4">
        <v>0</v>
      </c>
      <c r="AO16" s="4"/>
      <c r="AP16" s="69">
        <f t="shared" si="6"/>
        <v>935</v>
      </c>
      <c r="AQ16" s="4">
        <f t="shared" si="7"/>
        <v>935</v>
      </c>
      <c r="AR16" s="4">
        <f t="shared" si="3"/>
        <v>935</v>
      </c>
      <c r="AS16" s="5">
        <f t="shared" si="4"/>
        <v>1</v>
      </c>
    </row>
    <row r="17" spans="1:45" ht="15">
      <c r="A17" s="1"/>
      <c r="B17" s="1"/>
      <c r="C17" s="1"/>
      <c r="D17" s="1" t="s">
        <v>46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16650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22">
        <f t="shared" si="0"/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29">
        <f t="shared" si="1"/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76">
        <f t="shared" si="2"/>
        <v>16650</v>
      </c>
      <c r="AN17" s="4">
        <v>16000</v>
      </c>
      <c r="AO17" s="4"/>
      <c r="AP17" s="69">
        <f t="shared" si="6"/>
        <v>16650</v>
      </c>
      <c r="AQ17" s="4">
        <f t="shared" si="7"/>
        <v>650</v>
      </c>
      <c r="AR17" s="4">
        <f t="shared" si="3"/>
        <v>650</v>
      </c>
      <c r="AS17" s="5">
        <f t="shared" si="4"/>
        <v>1.04063</v>
      </c>
    </row>
    <row r="18" spans="1:45" ht="15">
      <c r="A18" s="1"/>
      <c r="B18" s="1"/>
      <c r="C18" s="1"/>
      <c r="D18" s="1" t="s">
        <v>47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22">
        <f t="shared" si="0"/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29">
        <f t="shared" si="1"/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76">
        <f t="shared" si="2"/>
        <v>0</v>
      </c>
      <c r="AN18" s="4">
        <v>0</v>
      </c>
      <c r="AO18" s="4"/>
      <c r="AP18" s="69">
        <f t="shared" si="6"/>
        <v>0</v>
      </c>
      <c r="AQ18" s="4">
        <f t="shared" si="7"/>
        <v>0</v>
      </c>
      <c r="AR18" s="4">
        <f t="shared" si="3"/>
        <v>0</v>
      </c>
      <c r="AS18" s="5">
        <f t="shared" si="4"/>
        <v>0</v>
      </c>
    </row>
    <row r="19" spans="1:45" ht="15">
      <c r="A19" s="1"/>
      <c r="B19" s="1"/>
      <c r="C19" s="1"/>
      <c r="D19" s="1" t="s">
        <v>48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22">
        <f t="shared" si="0"/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29">
        <f t="shared" si="1"/>
        <v>0</v>
      </c>
      <c r="AB19" s="4">
        <v>0</v>
      </c>
      <c r="AC19" s="4">
        <v>0</v>
      </c>
      <c r="AD19" s="4">
        <v>4128</v>
      </c>
      <c r="AE19" s="4">
        <v>20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76">
        <f t="shared" si="2"/>
        <v>4148</v>
      </c>
      <c r="AN19" s="4">
        <v>9000</v>
      </c>
      <c r="AO19" s="4">
        <f t="shared" si="5"/>
        <v>829.6</v>
      </c>
      <c r="AP19" s="69">
        <f t="shared" si="6"/>
        <v>4977.6</v>
      </c>
      <c r="AQ19" s="4">
        <f t="shared" si="7"/>
        <v>-4022.3999999999996</v>
      </c>
      <c r="AR19" s="4">
        <f t="shared" si="3"/>
        <v>-4852</v>
      </c>
      <c r="AS19" s="5">
        <f t="shared" si="4"/>
        <v>0.46089</v>
      </c>
    </row>
    <row r="20" spans="1:45" ht="15">
      <c r="A20" s="1"/>
      <c r="B20" s="1"/>
      <c r="C20" s="1"/>
      <c r="D20" s="1" t="s">
        <v>49</v>
      </c>
      <c r="E20" s="4">
        <v>56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22">
        <f t="shared" si="0"/>
        <v>0</v>
      </c>
      <c r="V20" s="4">
        <v>0</v>
      </c>
      <c r="W20" s="4">
        <v>0</v>
      </c>
      <c r="X20" s="4">
        <v>0</v>
      </c>
      <c r="Y20" s="4">
        <v>242</v>
      </c>
      <c r="Z20" s="4">
        <v>0</v>
      </c>
      <c r="AA20" s="29">
        <f t="shared" si="1"/>
        <v>242</v>
      </c>
      <c r="AB20" s="4">
        <v>0</v>
      </c>
      <c r="AC20" s="4">
        <v>0</v>
      </c>
      <c r="AD20" s="4">
        <v>0</v>
      </c>
      <c r="AE20" s="4">
        <v>10365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76">
        <f t="shared" si="2"/>
        <v>10663</v>
      </c>
      <c r="AN20" s="4">
        <v>8004</v>
      </c>
      <c r="AO20" s="4">
        <f t="shared" si="5"/>
        <v>2132.6</v>
      </c>
      <c r="AP20" s="69">
        <f t="shared" si="6"/>
        <v>12795.6</v>
      </c>
      <c r="AQ20" s="4">
        <f t="shared" si="7"/>
        <v>4791.6</v>
      </c>
      <c r="AR20" s="4">
        <f t="shared" si="3"/>
        <v>2659</v>
      </c>
      <c r="AS20" s="5">
        <f t="shared" si="4"/>
        <v>1.33221</v>
      </c>
    </row>
    <row r="21" spans="1:45" ht="15">
      <c r="A21" s="1"/>
      <c r="B21" s="1"/>
      <c r="C21" s="1"/>
      <c r="D21" s="1" t="s">
        <v>50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26200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22">
        <f t="shared" si="0"/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29">
        <f t="shared" si="1"/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76">
        <f t="shared" si="2"/>
        <v>26200</v>
      </c>
      <c r="AN21" s="4">
        <v>65000</v>
      </c>
      <c r="AO21" s="4">
        <f t="shared" si="5"/>
        <v>5240</v>
      </c>
      <c r="AP21" s="69">
        <f t="shared" si="6"/>
        <v>31440</v>
      </c>
      <c r="AQ21" s="4">
        <f t="shared" si="7"/>
        <v>-33560</v>
      </c>
      <c r="AR21" s="4">
        <f t="shared" si="3"/>
        <v>-38800</v>
      </c>
      <c r="AS21" s="5">
        <f t="shared" si="4"/>
        <v>0.40308</v>
      </c>
    </row>
    <row r="22" spans="1:45" ht="15">
      <c r="A22" s="1"/>
      <c r="B22" s="1"/>
      <c r="C22" s="1"/>
      <c r="D22" s="1" t="s">
        <v>51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273</v>
      </c>
      <c r="K22" s="4">
        <v>0</v>
      </c>
      <c r="L22" s="4">
        <v>0</v>
      </c>
      <c r="M22" s="4">
        <v>0</v>
      </c>
      <c r="N22" s="4">
        <v>0</v>
      </c>
      <c r="O22" s="4">
        <v>25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22">
        <f t="shared" si="0"/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29">
        <f t="shared" si="1"/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76">
        <f t="shared" si="2"/>
        <v>298</v>
      </c>
      <c r="AN22" s="4">
        <v>840</v>
      </c>
      <c r="AO22" s="4"/>
      <c r="AP22" s="69">
        <f t="shared" si="6"/>
        <v>298</v>
      </c>
      <c r="AQ22" s="4">
        <f t="shared" si="7"/>
        <v>-542</v>
      </c>
      <c r="AR22" s="4">
        <f t="shared" si="3"/>
        <v>-542</v>
      </c>
      <c r="AS22" s="5">
        <f t="shared" si="4"/>
        <v>0.35476</v>
      </c>
    </row>
    <row r="23" spans="1:45" ht="15">
      <c r="A23" s="1"/>
      <c r="B23" s="1"/>
      <c r="C23" s="1"/>
      <c r="D23" s="1" t="s">
        <v>52</v>
      </c>
      <c r="E23" s="4">
        <v>0</v>
      </c>
      <c r="F23" s="4">
        <v>0</v>
      </c>
      <c r="G23" s="4">
        <v>0</v>
      </c>
      <c r="H23" s="4">
        <v>0</v>
      </c>
      <c r="I23" s="4">
        <v>2037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825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22">
        <f t="shared" si="0"/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29">
        <f t="shared" si="1"/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76">
        <f t="shared" si="2"/>
        <v>2862</v>
      </c>
      <c r="AN23" s="4">
        <v>4500</v>
      </c>
      <c r="AO23" s="4"/>
      <c r="AP23" s="69">
        <f t="shared" si="6"/>
        <v>2862</v>
      </c>
      <c r="AQ23" s="4">
        <f t="shared" si="7"/>
        <v>-1638</v>
      </c>
      <c r="AR23" s="4">
        <f t="shared" si="3"/>
        <v>-1638</v>
      </c>
      <c r="AS23" s="5">
        <f t="shared" si="4"/>
        <v>0.636</v>
      </c>
    </row>
    <row r="24" spans="1:45" ht="15">
      <c r="A24" s="1"/>
      <c r="B24" s="1"/>
      <c r="C24" s="1"/>
      <c r="D24" s="1" t="s">
        <v>53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2">
        <f t="shared" si="0"/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29">
        <f t="shared" si="1"/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449638</v>
      </c>
      <c r="AK24" s="4">
        <v>0</v>
      </c>
      <c r="AL24" s="4">
        <v>0</v>
      </c>
      <c r="AM24" s="76">
        <f t="shared" si="2"/>
        <v>449638</v>
      </c>
      <c r="AN24" s="4">
        <v>582774</v>
      </c>
      <c r="AO24" s="4">
        <v>80000</v>
      </c>
      <c r="AP24" s="69">
        <f t="shared" si="6"/>
        <v>529638</v>
      </c>
      <c r="AQ24" s="4">
        <f t="shared" si="7"/>
        <v>-53136</v>
      </c>
      <c r="AR24" s="4">
        <f t="shared" si="3"/>
        <v>-133136</v>
      </c>
      <c r="AS24" s="5">
        <f t="shared" si="4"/>
        <v>0.77155</v>
      </c>
    </row>
    <row r="25" spans="1:45" ht="15">
      <c r="A25" s="1"/>
      <c r="B25" s="1"/>
      <c r="C25" s="1"/>
      <c r="D25" s="1" t="s">
        <v>54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5256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22">
        <f t="shared" si="0"/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29">
        <f t="shared" si="1"/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76">
        <f t="shared" si="2"/>
        <v>5256</v>
      </c>
      <c r="AN25" s="4">
        <v>0</v>
      </c>
      <c r="AO25" s="4"/>
      <c r="AP25" s="69">
        <f t="shared" si="6"/>
        <v>5256</v>
      </c>
      <c r="AQ25" s="4">
        <f t="shared" si="7"/>
        <v>5256</v>
      </c>
      <c r="AR25" s="4">
        <f t="shared" si="3"/>
        <v>5256</v>
      </c>
      <c r="AS25" s="5">
        <f t="shared" si="4"/>
        <v>1</v>
      </c>
    </row>
    <row r="26" spans="1:45" ht="15">
      <c r="A26" s="1"/>
      <c r="B26" s="1"/>
      <c r="C26" s="1"/>
      <c r="D26" s="1" t="s">
        <v>55</v>
      </c>
      <c r="E26" s="4">
        <v>50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2900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22">
        <f t="shared" si="0"/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29">
        <f t="shared" si="1"/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76">
        <f t="shared" si="2"/>
        <v>2950</v>
      </c>
      <c r="AN26" s="4">
        <v>0</v>
      </c>
      <c r="AO26" s="4"/>
      <c r="AP26" s="69">
        <f t="shared" si="6"/>
        <v>2950</v>
      </c>
      <c r="AQ26" s="4">
        <f t="shared" si="7"/>
        <v>2950</v>
      </c>
      <c r="AR26" s="4">
        <f t="shared" si="3"/>
        <v>2950</v>
      </c>
      <c r="AS26" s="5">
        <f t="shared" si="4"/>
        <v>1</v>
      </c>
    </row>
    <row r="27" spans="1:45" ht="15">
      <c r="A27" s="1"/>
      <c r="B27" s="1"/>
      <c r="C27" s="1"/>
      <c r="D27" s="1" t="s">
        <v>56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7575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22">
        <f t="shared" si="0"/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29">
        <f t="shared" si="1"/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76">
        <f t="shared" si="2"/>
        <v>7575</v>
      </c>
      <c r="AN27" s="4">
        <v>25000</v>
      </c>
      <c r="AO27" s="4"/>
      <c r="AP27" s="69">
        <f t="shared" si="6"/>
        <v>7575</v>
      </c>
      <c r="AQ27" s="4">
        <f t="shared" si="7"/>
        <v>-17425</v>
      </c>
      <c r="AR27" s="4">
        <f t="shared" si="3"/>
        <v>-17425</v>
      </c>
      <c r="AS27" s="5">
        <f t="shared" si="4"/>
        <v>0.303</v>
      </c>
    </row>
    <row r="28" spans="1:45" ht="15">
      <c r="A28" s="1"/>
      <c r="B28" s="1"/>
      <c r="C28" s="1"/>
      <c r="D28" s="1" t="s">
        <v>57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22">
        <f t="shared" si="0"/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29">
        <f t="shared" si="1"/>
        <v>0</v>
      </c>
      <c r="AB28" s="4">
        <v>0</v>
      </c>
      <c r="AC28" s="4">
        <v>0</v>
      </c>
      <c r="AD28" s="4">
        <v>0</v>
      </c>
      <c r="AE28" s="4">
        <v>0</v>
      </c>
      <c r="AF28" s="4">
        <v>48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76">
        <f t="shared" si="2"/>
        <v>48</v>
      </c>
      <c r="AN28" s="4">
        <v>300</v>
      </c>
      <c r="AO28" s="4"/>
      <c r="AP28" s="69">
        <f t="shared" si="6"/>
        <v>48</v>
      </c>
      <c r="AQ28" s="4">
        <f t="shared" si="7"/>
        <v>-252</v>
      </c>
      <c r="AR28" s="4">
        <f t="shared" si="3"/>
        <v>-252</v>
      </c>
      <c r="AS28" s="5">
        <f t="shared" si="4"/>
        <v>0.16</v>
      </c>
    </row>
    <row r="29" spans="1:45" ht="15">
      <c r="A29" s="1"/>
      <c r="B29" s="1"/>
      <c r="C29" s="1"/>
      <c r="D29" s="1" t="s">
        <v>58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70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22">
        <f t="shared" si="0"/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9">
        <f t="shared" si="1"/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76">
        <f t="shared" si="2"/>
        <v>70</v>
      </c>
      <c r="AN29" s="4">
        <v>0</v>
      </c>
      <c r="AO29" s="4"/>
      <c r="AP29" s="69">
        <f t="shared" si="6"/>
        <v>70</v>
      </c>
      <c r="AQ29" s="4">
        <f t="shared" si="7"/>
        <v>70</v>
      </c>
      <c r="AR29" s="4">
        <f t="shared" si="3"/>
        <v>70</v>
      </c>
      <c r="AS29" s="5">
        <f t="shared" si="4"/>
        <v>1</v>
      </c>
    </row>
    <row r="30" spans="1:45" ht="15">
      <c r="A30" s="1"/>
      <c r="B30" s="1"/>
      <c r="C30" s="1"/>
      <c r="D30" s="1" t="s">
        <v>59</v>
      </c>
      <c r="E30" s="4">
        <v>5366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22">
        <f t="shared" si="0"/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9">
        <f t="shared" si="1"/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76">
        <f t="shared" si="2"/>
        <v>5366</v>
      </c>
      <c r="AN30" s="4">
        <v>6516</v>
      </c>
      <c r="AO30" s="4">
        <f t="shared" si="5"/>
        <v>1073.2</v>
      </c>
      <c r="AP30" s="69">
        <f t="shared" si="6"/>
        <v>6439.2</v>
      </c>
      <c r="AQ30" s="4">
        <f t="shared" si="7"/>
        <v>-76.80000000000018</v>
      </c>
      <c r="AR30" s="4">
        <f t="shared" si="3"/>
        <v>-1150</v>
      </c>
      <c r="AS30" s="5">
        <f t="shared" si="4"/>
        <v>0.82351</v>
      </c>
    </row>
    <row r="31" spans="1:45" ht="15">
      <c r="A31" s="1"/>
      <c r="B31" s="1"/>
      <c r="C31" s="1"/>
      <c r="D31" s="1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22">
        <f t="shared" si="0"/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29">
        <f t="shared" si="1"/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76">
        <f t="shared" si="2"/>
        <v>0</v>
      </c>
      <c r="AN31" s="4">
        <v>0</v>
      </c>
      <c r="AO31" s="4"/>
      <c r="AP31" s="69">
        <f t="shared" si="6"/>
        <v>0</v>
      </c>
      <c r="AQ31" s="4">
        <f t="shared" si="7"/>
        <v>0</v>
      </c>
      <c r="AR31" s="4">
        <f t="shared" si="3"/>
        <v>0</v>
      </c>
      <c r="AS31" s="5">
        <f t="shared" si="4"/>
        <v>0</v>
      </c>
    </row>
    <row r="32" spans="1:45" ht="15">
      <c r="A32" s="1"/>
      <c r="B32" s="1"/>
      <c r="C32" s="1"/>
      <c r="D32" s="1" t="s">
        <v>61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1110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22">
        <f t="shared" si="0"/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29">
        <f t="shared" si="1"/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76">
        <f t="shared" si="2"/>
        <v>1110</v>
      </c>
      <c r="AN32" s="4">
        <v>0</v>
      </c>
      <c r="AO32" s="4"/>
      <c r="AP32" s="69">
        <f t="shared" si="6"/>
        <v>1110</v>
      </c>
      <c r="AQ32" s="4">
        <f t="shared" si="7"/>
        <v>1110</v>
      </c>
      <c r="AR32" s="4">
        <f t="shared" si="3"/>
        <v>1110</v>
      </c>
      <c r="AS32" s="5">
        <f t="shared" si="4"/>
        <v>1</v>
      </c>
    </row>
    <row r="33" spans="1:45" ht="15">
      <c r="A33" s="1"/>
      <c r="B33" s="1"/>
      <c r="C33" s="1"/>
      <c r="D33" s="1" t="s">
        <v>62</v>
      </c>
      <c r="E33" s="4">
        <v>4000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4000</v>
      </c>
      <c r="L33" s="4">
        <v>0</v>
      </c>
      <c r="M33" s="4">
        <v>0</v>
      </c>
      <c r="N33" s="4">
        <v>0</v>
      </c>
      <c r="O33" s="4">
        <v>359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22">
        <f t="shared" si="0"/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29">
        <f t="shared" si="1"/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76">
        <f t="shared" si="2"/>
        <v>8359</v>
      </c>
      <c r="AN33" s="4">
        <v>4000</v>
      </c>
      <c r="AO33" s="4">
        <f t="shared" si="5"/>
        <v>1671.8</v>
      </c>
      <c r="AP33" s="69">
        <f t="shared" si="6"/>
        <v>10030.8</v>
      </c>
      <c r="AQ33" s="4">
        <f t="shared" si="7"/>
        <v>6030.799999999999</v>
      </c>
      <c r="AR33" s="4">
        <f t="shared" si="3"/>
        <v>4359</v>
      </c>
      <c r="AS33" s="5">
        <f t="shared" si="4"/>
        <v>2.08975</v>
      </c>
    </row>
    <row r="34" spans="1:45" ht="15">
      <c r="A34" s="1"/>
      <c r="B34" s="1"/>
      <c r="C34" s="1"/>
      <c r="D34" s="1" t="s">
        <v>63</v>
      </c>
      <c r="E34" s="4">
        <v>54000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51000</v>
      </c>
      <c r="U34" s="22">
        <f t="shared" si="0"/>
        <v>51000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29">
        <f t="shared" si="1"/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152400</v>
      </c>
      <c r="AM34" s="76">
        <f t="shared" si="2"/>
        <v>257400</v>
      </c>
      <c r="AN34" s="4">
        <v>327600</v>
      </c>
      <c r="AO34" s="4">
        <f t="shared" si="5"/>
        <v>51480</v>
      </c>
      <c r="AP34" s="69">
        <f t="shared" si="6"/>
        <v>308880</v>
      </c>
      <c r="AQ34" s="4">
        <f t="shared" si="7"/>
        <v>-18720</v>
      </c>
      <c r="AR34" s="4">
        <f t="shared" si="3"/>
        <v>-70200</v>
      </c>
      <c r="AS34" s="5">
        <f t="shared" si="4"/>
        <v>0.78571</v>
      </c>
    </row>
    <row r="35" spans="1:45" ht="15">
      <c r="A35" s="1"/>
      <c r="B35" s="1"/>
      <c r="C35" s="1"/>
      <c r="D35" s="1" t="s">
        <v>64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22">
        <f t="shared" si="0"/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29">
        <f t="shared" si="1"/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62275</v>
      </c>
      <c r="AM35" s="76">
        <f t="shared" si="2"/>
        <v>62275</v>
      </c>
      <c r="AN35" s="4">
        <v>140000</v>
      </c>
      <c r="AO35" s="4">
        <v>50000</v>
      </c>
      <c r="AP35" s="69">
        <f t="shared" si="6"/>
        <v>112275</v>
      </c>
      <c r="AQ35" s="4">
        <f t="shared" si="7"/>
        <v>-27725</v>
      </c>
      <c r="AR35" s="4">
        <f t="shared" si="3"/>
        <v>-77725</v>
      </c>
      <c r="AS35" s="5">
        <f t="shared" si="4"/>
        <v>0.44482</v>
      </c>
    </row>
    <row r="36" spans="1:45" ht="15.75" thickBot="1">
      <c r="A36" s="1"/>
      <c r="B36" s="1"/>
      <c r="C36" s="1"/>
      <c r="D36" s="1" t="s">
        <v>65</v>
      </c>
      <c r="E36" s="6">
        <v>3412</v>
      </c>
      <c r="F36" s="6">
        <v>725</v>
      </c>
      <c r="G36" s="6">
        <v>0</v>
      </c>
      <c r="H36" s="6">
        <v>0</v>
      </c>
      <c r="I36" s="6">
        <v>490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11700</v>
      </c>
      <c r="U36" s="23">
        <f t="shared" si="0"/>
        <v>11700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30">
        <f t="shared" si="1"/>
        <v>0</v>
      </c>
      <c r="AB36" s="6">
        <v>0</v>
      </c>
      <c r="AC36" s="6">
        <v>0</v>
      </c>
      <c r="AD36" s="6">
        <v>160</v>
      </c>
      <c r="AE36" s="6">
        <v>0</v>
      </c>
      <c r="AF36" s="6">
        <v>10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27154</v>
      </c>
      <c r="AM36" s="77">
        <f t="shared" si="2"/>
        <v>43651</v>
      </c>
      <c r="AN36" s="6">
        <v>36110</v>
      </c>
      <c r="AO36" s="6">
        <f t="shared" si="5"/>
        <v>8730.2</v>
      </c>
      <c r="AP36" s="70">
        <f t="shared" si="6"/>
        <v>52381.2</v>
      </c>
      <c r="AQ36" s="6">
        <f t="shared" si="7"/>
        <v>16271.199999999997</v>
      </c>
      <c r="AR36" s="6">
        <f t="shared" si="3"/>
        <v>7541</v>
      </c>
      <c r="AS36" s="7">
        <f t="shared" si="4"/>
        <v>1.20883</v>
      </c>
    </row>
    <row r="37" spans="1:45" ht="15">
      <c r="A37" s="1"/>
      <c r="B37" s="1"/>
      <c r="C37" s="1" t="s">
        <v>66</v>
      </c>
      <c r="D37" s="1"/>
      <c r="E37" s="4">
        <f aca="true" t="shared" si="8" ref="E37:T37">ROUND(SUM(E5:E36),5)</f>
        <v>63684</v>
      </c>
      <c r="F37" s="4">
        <f t="shared" si="8"/>
        <v>725</v>
      </c>
      <c r="G37" s="4">
        <f t="shared" si="8"/>
        <v>0</v>
      </c>
      <c r="H37" s="4">
        <f t="shared" si="8"/>
        <v>0</v>
      </c>
      <c r="I37" s="4">
        <f t="shared" si="8"/>
        <v>2527</v>
      </c>
      <c r="J37" s="4">
        <f t="shared" si="8"/>
        <v>13965</v>
      </c>
      <c r="K37" s="4">
        <f t="shared" si="8"/>
        <v>4000</v>
      </c>
      <c r="L37" s="4">
        <f t="shared" si="8"/>
        <v>70</v>
      </c>
      <c r="M37" s="4">
        <f t="shared" si="8"/>
        <v>0</v>
      </c>
      <c r="N37" s="4">
        <f t="shared" si="8"/>
        <v>0</v>
      </c>
      <c r="O37" s="4">
        <f t="shared" si="8"/>
        <v>1785792</v>
      </c>
      <c r="P37" s="4">
        <f t="shared" si="8"/>
        <v>21965</v>
      </c>
      <c r="Q37" s="4">
        <f t="shared" si="8"/>
        <v>102330</v>
      </c>
      <c r="R37" s="4">
        <f t="shared" si="8"/>
        <v>0</v>
      </c>
      <c r="S37" s="4">
        <f t="shared" si="8"/>
        <v>29350</v>
      </c>
      <c r="T37" s="4">
        <f t="shared" si="8"/>
        <v>62910</v>
      </c>
      <c r="U37" s="22">
        <f t="shared" si="0"/>
        <v>216555</v>
      </c>
      <c r="V37" s="4">
        <f>ROUND(SUM(V5:V36),5)</f>
        <v>22085</v>
      </c>
      <c r="W37" s="4">
        <f>ROUND(SUM(W5:W36),5)</f>
        <v>0</v>
      </c>
      <c r="X37" s="4">
        <f>ROUND(SUM(X5:X36),5)</f>
        <v>51025</v>
      </c>
      <c r="Y37" s="4">
        <f>ROUND(SUM(Y5:Y36),5)</f>
        <v>16367</v>
      </c>
      <c r="Z37" s="4">
        <f>ROUND(SUM(Z5:Z36),5)</f>
        <v>23335</v>
      </c>
      <c r="AA37" s="29">
        <f t="shared" si="1"/>
        <v>112812</v>
      </c>
      <c r="AB37" s="4">
        <f aca="true" t="shared" si="9" ref="AB37:AN37">ROUND(SUM(AB5:AB36),5)</f>
        <v>0</v>
      </c>
      <c r="AC37" s="4">
        <f t="shared" si="9"/>
        <v>0</v>
      </c>
      <c r="AD37" s="4">
        <f t="shared" si="9"/>
        <v>4288</v>
      </c>
      <c r="AE37" s="4">
        <f t="shared" si="9"/>
        <v>10385</v>
      </c>
      <c r="AF37" s="4">
        <f t="shared" si="9"/>
        <v>58</v>
      </c>
      <c r="AG37" s="4">
        <f t="shared" si="9"/>
        <v>0</v>
      </c>
      <c r="AH37" s="4">
        <f t="shared" si="9"/>
        <v>0</v>
      </c>
      <c r="AI37" s="4">
        <f t="shared" si="9"/>
        <v>0</v>
      </c>
      <c r="AJ37" s="4">
        <f t="shared" si="9"/>
        <v>449638</v>
      </c>
      <c r="AK37" s="4">
        <f t="shared" si="9"/>
        <v>0</v>
      </c>
      <c r="AL37" s="4">
        <f t="shared" si="9"/>
        <v>241829</v>
      </c>
      <c r="AM37" s="76">
        <f t="shared" si="9"/>
        <v>2906328</v>
      </c>
      <c r="AN37" s="4">
        <f t="shared" si="9"/>
        <v>2772873</v>
      </c>
      <c r="AO37" s="4">
        <f aca="true" t="shared" si="10" ref="AO37:AQ37">ROUND(SUM(AO5:AO36),5)</f>
        <v>232297.8</v>
      </c>
      <c r="AP37" s="69">
        <f t="shared" si="10"/>
        <v>3138625.8</v>
      </c>
      <c r="AQ37" s="4">
        <f t="shared" si="10"/>
        <v>365752.8</v>
      </c>
      <c r="AR37" s="4">
        <f t="shared" si="3"/>
        <v>133455</v>
      </c>
      <c r="AS37" s="5">
        <f t="shared" si="4"/>
        <v>1.04813</v>
      </c>
    </row>
    <row r="38" spans="1:45" ht="30" customHeight="1">
      <c r="A38" s="1"/>
      <c r="B38" s="1"/>
      <c r="C38" s="1" t="s">
        <v>67</v>
      </c>
      <c r="D38" s="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22"/>
      <c r="V38" s="4"/>
      <c r="W38" s="4"/>
      <c r="X38" s="4"/>
      <c r="Y38" s="4"/>
      <c r="Z38" s="4"/>
      <c r="AA38" s="29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6"/>
      <c r="AN38" s="4"/>
      <c r="AO38" s="4"/>
      <c r="AP38" s="69"/>
      <c r="AQ38" s="4"/>
      <c r="AR38" s="4"/>
      <c r="AS38" s="5"/>
    </row>
    <row r="39" spans="1:45" ht="15">
      <c r="A39" s="1"/>
      <c r="B39" s="1"/>
      <c r="C39" s="1"/>
      <c r="D39" s="1" t="s">
        <v>68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259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22">
        <f>ROUND(P39+Q39+R39+S39+T39,5)</f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29">
        <f>ROUND(V39+W39+X39+Y39+Z39,5)</f>
        <v>0</v>
      </c>
      <c r="AB39" s="4">
        <v>0</v>
      </c>
      <c r="AC39" s="4">
        <v>0</v>
      </c>
      <c r="AD39" s="4">
        <v>5086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76">
        <f>ROUND(E39+F39+G39+H39+I39+J39+K39+L39+M39+N39+O39+U39+AA39+AB39+AC39+AD39+AE39+AF39+AG39+AH39+AI39+AJ39+AK39+AL39,5)</f>
        <v>5345</v>
      </c>
      <c r="AN39" s="4">
        <v>5616</v>
      </c>
      <c r="AO39" s="4">
        <f aca="true" t="shared" si="11" ref="AO39:AO41">AM39/10*2</f>
        <v>1069</v>
      </c>
      <c r="AP39" s="69">
        <f aca="true" t="shared" si="12" ref="AP39:AP41">+AM39+AO39</f>
        <v>6414</v>
      </c>
      <c r="AQ39" s="4">
        <f aca="true" t="shared" si="13" ref="AQ39:AQ41">+AP39-AN39</f>
        <v>798</v>
      </c>
      <c r="AR39" s="4">
        <f>ROUND((AM39-AN39),5)</f>
        <v>-271</v>
      </c>
      <c r="AS39" s="5">
        <f>ROUND(IF(AN39=0,IF(AM39=0,0,1),AM39/AN39),5)</f>
        <v>0.95175</v>
      </c>
    </row>
    <row r="40" spans="1:45" ht="15">
      <c r="A40" s="1"/>
      <c r="B40" s="1"/>
      <c r="C40" s="1"/>
      <c r="D40" s="1" t="s">
        <v>69</v>
      </c>
      <c r="E40" s="4">
        <v>367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22">
        <f>ROUND(P40+Q40+R40+S40+T40,5)</f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29">
        <f>ROUND(V40+W40+X40+Y40+Z40,5)</f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76">
        <f>ROUND(E40+F40+G40+H40+I40+J40+K40+L40+M40+N40+O40+U40+AA40+AB40+AC40+AD40+AE40+AF40+AG40+AH40+AI40+AJ40+AK40+AL40,5)</f>
        <v>367</v>
      </c>
      <c r="AN40" s="4">
        <v>0</v>
      </c>
      <c r="AO40" s="4">
        <f t="shared" si="11"/>
        <v>73.4</v>
      </c>
      <c r="AP40" s="69">
        <f t="shared" si="12"/>
        <v>440.4</v>
      </c>
      <c r="AQ40" s="4">
        <f t="shared" si="13"/>
        <v>440.4</v>
      </c>
      <c r="AR40" s="4">
        <f>ROUND((AM40-AN40),5)</f>
        <v>367</v>
      </c>
      <c r="AS40" s="5">
        <f>ROUND(IF(AN40=0,IF(AM40=0,0,1),AM40/AN40),5)</f>
        <v>1</v>
      </c>
    </row>
    <row r="41" spans="1:45" ht="15.75" thickBot="1">
      <c r="A41" s="1"/>
      <c r="B41" s="1"/>
      <c r="C41" s="1"/>
      <c r="D41" s="1" t="s">
        <v>70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900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24">
        <f>ROUND(P41+Q41+R41+S41+T41,5)</f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31">
        <f>ROUND(V41+W41+X41+Y41+Z41,5)</f>
        <v>0</v>
      </c>
      <c r="AB41" s="8">
        <v>0</v>
      </c>
      <c r="AC41" s="8">
        <v>0</v>
      </c>
      <c r="AD41" s="8">
        <v>345</v>
      </c>
      <c r="AE41" s="8">
        <v>1165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78">
        <f>ROUND(E41+F41+G41+H41+I41+J41+K41+L41+M41+N41+O41+U41+AA41+AB41+AC41+AD41+AE41+AF41+AG41+AH41+AI41+AJ41+AK41+AL41,5)</f>
        <v>2410</v>
      </c>
      <c r="AN41" s="8">
        <v>0</v>
      </c>
      <c r="AO41" s="4">
        <f t="shared" si="11"/>
        <v>482</v>
      </c>
      <c r="AP41" s="69">
        <f t="shared" si="12"/>
        <v>2892</v>
      </c>
      <c r="AQ41" s="4">
        <f t="shared" si="13"/>
        <v>2892</v>
      </c>
      <c r="AR41" s="8">
        <f>ROUND((AM41-AN41),5)</f>
        <v>2410</v>
      </c>
      <c r="AS41" s="9">
        <f>ROUND(IF(AN41=0,IF(AM41=0,0,1),AM41/AN41),5)</f>
        <v>1</v>
      </c>
    </row>
    <row r="42" spans="1:45" ht="15.75" thickBot="1">
      <c r="A42" s="1"/>
      <c r="B42" s="1"/>
      <c r="C42" s="1" t="s">
        <v>71</v>
      </c>
      <c r="D42" s="1"/>
      <c r="E42" s="10">
        <f aca="true" t="shared" si="14" ref="E42:T42">ROUND(SUM(E38:E41),5)</f>
        <v>367</v>
      </c>
      <c r="F42" s="10">
        <f t="shared" si="14"/>
        <v>0</v>
      </c>
      <c r="G42" s="10">
        <f t="shared" si="14"/>
        <v>0</v>
      </c>
      <c r="H42" s="10">
        <f t="shared" si="14"/>
        <v>0</v>
      </c>
      <c r="I42" s="10">
        <f t="shared" si="14"/>
        <v>0</v>
      </c>
      <c r="J42" s="10">
        <f t="shared" si="14"/>
        <v>0</v>
      </c>
      <c r="K42" s="10">
        <f t="shared" si="14"/>
        <v>900</v>
      </c>
      <c r="L42" s="10">
        <f t="shared" si="14"/>
        <v>0</v>
      </c>
      <c r="M42" s="10">
        <f t="shared" si="14"/>
        <v>0</v>
      </c>
      <c r="N42" s="10">
        <f t="shared" si="14"/>
        <v>0</v>
      </c>
      <c r="O42" s="10">
        <f t="shared" si="14"/>
        <v>259</v>
      </c>
      <c r="P42" s="10">
        <f t="shared" si="14"/>
        <v>0</v>
      </c>
      <c r="Q42" s="10">
        <f t="shared" si="14"/>
        <v>0</v>
      </c>
      <c r="R42" s="10">
        <f t="shared" si="14"/>
        <v>0</v>
      </c>
      <c r="S42" s="10">
        <f t="shared" si="14"/>
        <v>0</v>
      </c>
      <c r="T42" s="10">
        <f t="shared" si="14"/>
        <v>0</v>
      </c>
      <c r="U42" s="25">
        <f>ROUND(P42+Q42+R42+S42+T42,5)</f>
        <v>0</v>
      </c>
      <c r="V42" s="10">
        <f>ROUND(SUM(V38:V41),5)</f>
        <v>0</v>
      </c>
      <c r="W42" s="10">
        <f>ROUND(SUM(W38:W41),5)</f>
        <v>0</v>
      </c>
      <c r="X42" s="10">
        <f>ROUND(SUM(X38:X41),5)</f>
        <v>0</v>
      </c>
      <c r="Y42" s="10">
        <f>ROUND(SUM(Y38:Y41),5)</f>
        <v>0</v>
      </c>
      <c r="Z42" s="10">
        <f>ROUND(SUM(Z38:Z41),5)</f>
        <v>0</v>
      </c>
      <c r="AA42" s="32">
        <f>ROUND(V42+W42+X42+Y42+Z42,5)</f>
        <v>0</v>
      </c>
      <c r="AB42" s="10">
        <f aca="true" t="shared" si="15" ref="AB42:AL42">ROUND(SUM(AB38:AB41),5)</f>
        <v>0</v>
      </c>
      <c r="AC42" s="10">
        <f t="shared" si="15"/>
        <v>0</v>
      </c>
      <c r="AD42" s="10">
        <f t="shared" si="15"/>
        <v>5431</v>
      </c>
      <c r="AE42" s="10">
        <f t="shared" si="15"/>
        <v>1165</v>
      </c>
      <c r="AF42" s="10">
        <f t="shared" si="15"/>
        <v>0</v>
      </c>
      <c r="AG42" s="10">
        <f t="shared" si="15"/>
        <v>0</v>
      </c>
      <c r="AH42" s="10">
        <f t="shared" si="15"/>
        <v>0</v>
      </c>
      <c r="AI42" s="10">
        <f t="shared" si="15"/>
        <v>0</v>
      </c>
      <c r="AJ42" s="10">
        <f t="shared" si="15"/>
        <v>0</v>
      </c>
      <c r="AK42" s="10">
        <f t="shared" si="15"/>
        <v>0</v>
      </c>
      <c r="AL42" s="10">
        <f t="shared" si="15"/>
        <v>0</v>
      </c>
      <c r="AM42" s="79">
        <f>SUM(AM39:AM41)</f>
        <v>8122</v>
      </c>
      <c r="AN42" s="10">
        <f aca="true" t="shared" si="16" ref="AN42:AR42">SUM(AN39:AN41)</f>
        <v>5616</v>
      </c>
      <c r="AO42" s="10">
        <f aca="true" t="shared" si="17" ref="AO42:AP42">SUM(AO39:AO41)</f>
        <v>1624.4</v>
      </c>
      <c r="AP42" s="71">
        <f t="shared" si="17"/>
        <v>9746.4</v>
      </c>
      <c r="AQ42" s="10"/>
      <c r="AR42" s="10">
        <f t="shared" si="16"/>
        <v>2506</v>
      </c>
      <c r="AS42" s="11">
        <f>ROUND(IF(AN42=0,IF(AM42=0,0,1),AM42/AN42),5)</f>
        <v>1.44623</v>
      </c>
    </row>
    <row r="43" spans="1:45" ht="30" customHeight="1">
      <c r="A43" s="1"/>
      <c r="C43" s="1" t="s">
        <v>72</v>
      </c>
      <c r="D43" s="1"/>
      <c r="E43" s="4">
        <f aca="true" t="shared" si="18" ref="E43:T43">ROUND(E37-E42,5)</f>
        <v>63317</v>
      </c>
      <c r="F43" s="4">
        <f t="shared" si="18"/>
        <v>725</v>
      </c>
      <c r="G43" s="4">
        <f t="shared" si="18"/>
        <v>0</v>
      </c>
      <c r="H43" s="4">
        <f t="shared" si="18"/>
        <v>0</v>
      </c>
      <c r="I43" s="4">
        <f t="shared" si="18"/>
        <v>2527</v>
      </c>
      <c r="J43" s="4">
        <f t="shared" si="18"/>
        <v>13965</v>
      </c>
      <c r="K43" s="4">
        <f t="shared" si="18"/>
        <v>3100</v>
      </c>
      <c r="L43" s="4">
        <f t="shared" si="18"/>
        <v>70</v>
      </c>
      <c r="M43" s="4">
        <f t="shared" si="18"/>
        <v>0</v>
      </c>
      <c r="N43" s="4">
        <f t="shared" si="18"/>
        <v>0</v>
      </c>
      <c r="O43" s="4">
        <f t="shared" si="18"/>
        <v>1785533</v>
      </c>
      <c r="P43" s="4">
        <f t="shared" si="18"/>
        <v>21965</v>
      </c>
      <c r="Q43" s="4">
        <f t="shared" si="18"/>
        <v>102330</v>
      </c>
      <c r="R43" s="4">
        <f t="shared" si="18"/>
        <v>0</v>
      </c>
      <c r="S43" s="4">
        <f t="shared" si="18"/>
        <v>29350</v>
      </c>
      <c r="T43" s="4">
        <f t="shared" si="18"/>
        <v>62910</v>
      </c>
      <c r="U43" s="22">
        <f>ROUND(P43+Q43+R43+S43+T43,5)</f>
        <v>216555</v>
      </c>
      <c r="V43" s="4">
        <f>ROUND(V37-V42,5)</f>
        <v>22085</v>
      </c>
      <c r="W43" s="4">
        <f>ROUND(W37-W42,5)</f>
        <v>0</v>
      </c>
      <c r="X43" s="4">
        <f>ROUND(X37-X42,5)</f>
        <v>51025</v>
      </c>
      <c r="Y43" s="4">
        <f>ROUND(Y37-Y42,5)</f>
        <v>16367</v>
      </c>
      <c r="Z43" s="4">
        <f>ROUND(Z37-Z42,5)</f>
        <v>23335</v>
      </c>
      <c r="AA43" s="29">
        <f>ROUND(V43+W43+X43+Y43+Z43,5)</f>
        <v>112812</v>
      </c>
      <c r="AB43" s="4">
        <f aca="true" t="shared" si="19" ref="AB43:AL43">ROUND(AB37-AB42,5)</f>
        <v>0</v>
      </c>
      <c r="AC43" s="4">
        <f t="shared" si="19"/>
        <v>0</v>
      </c>
      <c r="AD43" s="4">
        <f t="shared" si="19"/>
        <v>-1143</v>
      </c>
      <c r="AE43" s="4">
        <f t="shared" si="19"/>
        <v>9220</v>
      </c>
      <c r="AF43" s="4">
        <f t="shared" si="19"/>
        <v>58</v>
      </c>
      <c r="AG43" s="4">
        <f t="shared" si="19"/>
        <v>0</v>
      </c>
      <c r="AH43" s="4">
        <f t="shared" si="19"/>
        <v>0</v>
      </c>
      <c r="AI43" s="4">
        <f t="shared" si="19"/>
        <v>0</v>
      </c>
      <c r="AJ43" s="4">
        <f t="shared" si="19"/>
        <v>449638</v>
      </c>
      <c r="AK43" s="4">
        <f t="shared" si="19"/>
        <v>0</v>
      </c>
      <c r="AL43" s="4">
        <f t="shared" si="19"/>
        <v>241829</v>
      </c>
      <c r="AM43" s="76">
        <f>+AM37-AM42</f>
        <v>2898206</v>
      </c>
      <c r="AN43" s="4">
        <f aca="true" t="shared" si="20" ref="AN43:AR43">+AN37-AN42</f>
        <v>2767257</v>
      </c>
      <c r="AO43" s="4">
        <f aca="true" t="shared" si="21" ref="AO43:AP43">+AO37-AO42</f>
        <v>230673.4</v>
      </c>
      <c r="AP43" s="69">
        <f t="shared" si="21"/>
        <v>3128879.4</v>
      </c>
      <c r="AQ43" s="4"/>
      <c r="AR43" s="4">
        <f t="shared" si="20"/>
        <v>130949</v>
      </c>
      <c r="AS43" s="5">
        <f>ROUND(IF(AN43=0,IF(AM43=0,0,1),AM43/AN43),5)</f>
        <v>1.04732</v>
      </c>
    </row>
    <row r="44" spans="1:45" ht="30" customHeight="1">
      <c r="A44" s="1"/>
      <c r="B44" s="1"/>
      <c r="C44" s="1" t="s">
        <v>73</v>
      </c>
      <c r="D44" s="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2"/>
      <c r="V44" s="4"/>
      <c r="W44" s="4"/>
      <c r="X44" s="4"/>
      <c r="Y44" s="4"/>
      <c r="Z44" s="4"/>
      <c r="AA44" s="29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76"/>
      <c r="AN44" s="4"/>
      <c r="AO44" s="4"/>
      <c r="AP44" s="69"/>
      <c r="AQ44" s="4"/>
      <c r="AR44" s="4"/>
      <c r="AS44" s="5"/>
    </row>
    <row r="45" spans="1:45" ht="15">
      <c r="A45" s="1"/>
      <c r="B45" s="1"/>
      <c r="C45" s="1"/>
      <c r="D45" s="1" t="s">
        <v>74</v>
      </c>
      <c r="E45" s="4">
        <v>471145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8461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2">
        <f aca="true" t="shared" si="22" ref="U45:U76">ROUND(P45+Q45+R45+S45+T45,5)</f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29">
        <f aca="true" t="shared" si="23" ref="AA45:AA76">ROUND(V45+W45+X45+Y45+Z45,5)</f>
        <v>0</v>
      </c>
      <c r="AB45" s="4">
        <v>657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253618</v>
      </c>
      <c r="AK45" s="4">
        <v>0</v>
      </c>
      <c r="AL45" s="4">
        <v>73877</v>
      </c>
      <c r="AM45" s="76">
        <f aca="true" t="shared" si="24" ref="AM45:AM76">ROUND(E45+F45+G45+H45+I45+J45+K45+L45+M45+N45+O45+U45+AA45+AB45+AC45+AD45+AE45+AF45+AG45+AH45+AI45+AJ45+AK45+AL45,5)</f>
        <v>807758</v>
      </c>
      <c r="AN45" s="4">
        <v>918914</v>
      </c>
      <c r="AO45" s="4">
        <f aca="true" t="shared" si="25" ref="AO45:AO108">AM45/10*2</f>
        <v>161551.6</v>
      </c>
      <c r="AP45" s="69">
        <f aca="true" t="shared" si="26" ref="AP45:AP108">+AM45+AO45</f>
        <v>969309.6</v>
      </c>
      <c r="AQ45" s="4">
        <f aca="true" t="shared" si="27" ref="AQ45:AQ108">+AP45-AN45</f>
        <v>50395.59999999998</v>
      </c>
      <c r="AR45" s="4">
        <f aca="true" t="shared" si="28" ref="AR45:AR76">ROUND((AM45-AN45),5)</f>
        <v>-111156</v>
      </c>
      <c r="AS45" s="5">
        <f aca="true" t="shared" si="29" ref="AS45:AS76">ROUND(IF(AN45=0,IF(AM45=0,0,1),AM45/AN45),5)</f>
        <v>0.87904</v>
      </c>
    </row>
    <row r="46" spans="1:45" ht="15">
      <c r="A46" s="1"/>
      <c r="B46" s="1"/>
      <c r="C46" s="1"/>
      <c r="D46" s="1" t="s">
        <v>75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22">
        <f t="shared" si="22"/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29">
        <f t="shared" si="23"/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76">
        <f t="shared" si="24"/>
        <v>0</v>
      </c>
      <c r="AN46" s="4">
        <v>39000</v>
      </c>
      <c r="AO46" s="4">
        <f t="shared" si="25"/>
        <v>0</v>
      </c>
      <c r="AP46" s="69">
        <f t="shared" si="26"/>
        <v>0</v>
      </c>
      <c r="AQ46" s="4">
        <f t="shared" si="27"/>
        <v>-39000</v>
      </c>
      <c r="AR46" s="4">
        <f t="shared" si="28"/>
        <v>-39000</v>
      </c>
      <c r="AS46" s="5">
        <f t="shared" si="29"/>
        <v>0</v>
      </c>
    </row>
    <row r="47" spans="1:45" ht="15">
      <c r="A47" s="1"/>
      <c r="B47" s="1"/>
      <c r="C47" s="1"/>
      <c r="D47" s="1" t="s">
        <v>76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22">
        <f t="shared" si="22"/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29">
        <f t="shared" si="23"/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76">
        <f t="shared" si="24"/>
        <v>0</v>
      </c>
      <c r="AN47" s="4">
        <v>27728</v>
      </c>
      <c r="AO47" s="4">
        <f t="shared" si="25"/>
        <v>0</v>
      </c>
      <c r="AP47" s="69">
        <f t="shared" si="26"/>
        <v>0</v>
      </c>
      <c r="AQ47" s="4">
        <f t="shared" si="27"/>
        <v>-27728</v>
      </c>
      <c r="AR47" s="4">
        <f t="shared" si="28"/>
        <v>-27728</v>
      </c>
      <c r="AS47" s="5">
        <f t="shared" si="29"/>
        <v>0</v>
      </c>
    </row>
    <row r="48" spans="1:45" ht="15">
      <c r="A48" s="1"/>
      <c r="B48" s="1"/>
      <c r="C48" s="1"/>
      <c r="D48" s="1" t="s">
        <v>77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5010</v>
      </c>
      <c r="K48" s="4">
        <v>0</v>
      </c>
      <c r="L48" s="4">
        <v>0</v>
      </c>
      <c r="M48" s="4">
        <v>0</v>
      </c>
      <c r="N48" s="4">
        <v>0</v>
      </c>
      <c r="O48" s="4">
        <v>9384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22">
        <f t="shared" si="22"/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29">
        <f t="shared" si="23"/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76">
        <f t="shared" si="24"/>
        <v>14394</v>
      </c>
      <c r="AN48" s="4">
        <v>14820</v>
      </c>
      <c r="AO48" s="4">
        <f t="shared" si="25"/>
        <v>2878.8</v>
      </c>
      <c r="AP48" s="69">
        <f t="shared" si="26"/>
        <v>17272.8</v>
      </c>
      <c r="AQ48" s="4">
        <f t="shared" si="27"/>
        <v>2452.7999999999993</v>
      </c>
      <c r="AR48" s="4">
        <f t="shared" si="28"/>
        <v>-426</v>
      </c>
      <c r="AS48" s="5">
        <f t="shared" si="29"/>
        <v>0.97126</v>
      </c>
    </row>
    <row r="49" spans="1:45" ht="15">
      <c r="A49" s="1"/>
      <c r="B49" s="1"/>
      <c r="C49" s="1"/>
      <c r="D49" s="1" t="s">
        <v>78</v>
      </c>
      <c r="E49" s="4">
        <v>39196</v>
      </c>
      <c r="F49" s="4">
        <v>0</v>
      </c>
      <c r="G49" s="4">
        <v>0</v>
      </c>
      <c r="H49" s="4">
        <v>0</v>
      </c>
      <c r="I49" s="4">
        <v>0</v>
      </c>
      <c r="J49" s="4">
        <v>512</v>
      </c>
      <c r="K49" s="4">
        <v>0</v>
      </c>
      <c r="L49" s="4">
        <v>0</v>
      </c>
      <c r="M49" s="4">
        <v>0</v>
      </c>
      <c r="N49" s="4">
        <v>0</v>
      </c>
      <c r="O49" s="4">
        <v>1292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22">
        <f t="shared" si="22"/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29">
        <f t="shared" si="23"/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22004</v>
      </c>
      <c r="AK49" s="4">
        <v>0</v>
      </c>
      <c r="AL49" s="4">
        <v>6462</v>
      </c>
      <c r="AM49" s="76">
        <f t="shared" si="24"/>
        <v>69466</v>
      </c>
      <c r="AN49" s="4">
        <v>82100</v>
      </c>
      <c r="AO49" s="4">
        <f t="shared" si="25"/>
        <v>13893.2</v>
      </c>
      <c r="AP49" s="69">
        <f t="shared" si="26"/>
        <v>83359.2</v>
      </c>
      <c r="AQ49" s="4">
        <f t="shared" si="27"/>
        <v>1259.199999999997</v>
      </c>
      <c r="AR49" s="4">
        <f t="shared" si="28"/>
        <v>-12634</v>
      </c>
      <c r="AS49" s="5">
        <f t="shared" si="29"/>
        <v>0.84611</v>
      </c>
    </row>
    <row r="50" spans="1:45" ht="15">
      <c r="A50" s="1"/>
      <c r="B50" s="1"/>
      <c r="C50" s="1"/>
      <c r="D50" s="1" t="s">
        <v>79</v>
      </c>
      <c r="E50" s="4">
        <v>2639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22">
        <f t="shared" si="22"/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29">
        <f t="shared" si="23"/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1865</v>
      </c>
      <c r="AK50" s="4">
        <v>0</v>
      </c>
      <c r="AL50" s="4">
        <v>0</v>
      </c>
      <c r="AM50" s="76">
        <f t="shared" si="24"/>
        <v>4504</v>
      </c>
      <c r="AN50" s="4">
        <v>12840</v>
      </c>
      <c r="AO50" s="4">
        <f t="shared" si="25"/>
        <v>900.8</v>
      </c>
      <c r="AP50" s="69">
        <f t="shared" si="26"/>
        <v>5404.8</v>
      </c>
      <c r="AQ50" s="4">
        <f t="shared" si="27"/>
        <v>-7435.2</v>
      </c>
      <c r="AR50" s="4">
        <f t="shared" si="28"/>
        <v>-8336</v>
      </c>
      <c r="AS50" s="5">
        <f t="shared" si="29"/>
        <v>0.35078</v>
      </c>
    </row>
    <row r="51" spans="1:45" ht="15">
      <c r="A51" s="1"/>
      <c r="B51" s="1"/>
      <c r="C51" s="1"/>
      <c r="D51" s="1" t="s">
        <v>80</v>
      </c>
      <c r="E51" s="4">
        <v>3446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22">
        <f t="shared" si="22"/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29">
        <f t="shared" si="23"/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3280</v>
      </c>
      <c r="AK51" s="4">
        <v>0</v>
      </c>
      <c r="AL51" s="4">
        <v>0</v>
      </c>
      <c r="AM51" s="76">
        <f t="shared" si="24"/>
        <v>6726</v>
      </c>
      <c r="AN51" s="4">
        <v>11016</v>
      </c>
      <c r="AO51" s="4">
        <f t="shared" si="25"/>
        <v>1345.2</v>
      </c>
      <c r="AP51" s="69">
        <f t="shared" si="26"/>
        <v>8071.2</v>
      </c>
      <c r="AQ51" s="4">
        <f t="shared" si="27"/>
        <v>-2944.8</v>
      </c>
      <c r="AR51" s="4">
        <f t="shared" si="28"/>
        <v>-4290</v>
      </c>
      <c r="AS51" s="5">
        <f t="shared" si="29"/>
        <v>0.61057</v>
      </c>
    </row>
    <row r="52" spans="1:45" ht="15">
      <c r="A52" s="1"/>
      <c r="B52" s="1"/>
      <c r="C52" s="1"/>
      <c r="D52" s="1" t="s">
        <v>81</v>
      </c>
      <c r="E52" s="4">
        <v>21698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22">
        <f t="shared" si="22"/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29">
        <f t="shared" si="23"/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19651</v>
      </c>
      <c r="AK52" s="4">
        <v>0</v>
      </c>
      <c r="AL52" s="4">
        <v>0</v>
      </c>
      <c r="AM52" s="76">
        <f t="shared" si="24"/>
        <v>41349</v>
      </c>
      <c r="AN52" s="4">
        <v>68886</v>
      </c>
      <c r="AO52" s="4">
        <f t="shared" si="25"/>
        <v>8269.8</v>
      </c>
      <c r="AP52" s="69">
        <f t="shared" si="26"/>
        <v>49618.8</v>
      </c>
      <c r="AQ52" s="4">
        <f t="shared" si="27"/>
        <v>-19267.199999999997</v>
      </c>
      <c r="AR52" s="4">
        <f t="shared" si="28"/>
        <v>-27537</v>
      </c>
      <c r="AS52" s="5">
        <f t="shared" si="29"/>
        <v>0.60025</v>
      </c>
    </row>
    <row r="53" spans="1:45" ht="15">
      <c r="A53" s="1"/>
      <c r="B53" s="1"/>
      <c r="C53" s="1"/>
      <c r="D53" s="1" t="s">
        <v>82</v>
      </c>
      <c r="E53" s="4">
        <v>1208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22">
        <f t="shared" si="22"/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29">
        <f t="shared" si="23"/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1048</v>
      </c>
      <c r="AK53" s="4">
        <v>0</v>
      </c>
      <c r="AL53" s="4">
        <v>0</v>
      </c>
      <c r="AM53" s="76">
        <f t="shared" si="24"/>
        <v>2256</v>
      </c>
      <c r="AN53" s="4">
        <v>2040</v>
      </c>
      <c r="AO53" s="4">
        <f t="shared" si="25"/>
        <v>451.2</v>
      </c>
      <c r="AP53" s="69">
        <f t="shared" si="26"/>
        <v>2707.2</v>
      </c>
      <c r="AQ53" s="4">
        <f t="shared" si="27"/>
        <v>667.1999999999998</v>
      </c>
      <c r="AR53" s="4">
        <f t="shared" si="28"/>
        <v>216</v>
      </c>
      <c r="AS53" s="5">
        <f t="shared" si="29"/>
        <v>1.10588</v>
      </c>
    </row>
    <row r="54" spans="1:45" ht="15">
      <c r="A54" s="1"/>
      <c r="B54" s="1"/>
      <c r="C54" s="1"/>
      <c r="D54" s="1" t="s">
        <v>83</v>
      </c>
      <c r="E54" s="4">
        <v>3591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22">
        <f t="shared" si="22"/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29">
        <f t="shared" si="23"/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2062</v>
      </c>
      <c r="AK54" s="4">
        <v>0</v>
      </c>
      <c r="AL54" s="4">
        <v>0</v>
      </c>
      <c r="AM54" s="76">
        <f t="shared" si="24"/>
        <v>5653</v>
      </c>
      <c r="AN54" s="4">
        <v>19160</v>
      </c>
      <c r="AO54" s="4">
        <f t="shared" si="25"/>
        <v>1130.6</v>
      </c>
      <c r="AP54" s="69">
        <f t="shared" si="26"/>
        <v>6783.6</v>
      </c>
      <c r="AQ54" s="4">
        <f t="shared" si="27"/>
        <v>-12376.4</v>
      </c>
      <c r="AR54" s="4">
        <f t="shared" si="28"/>
        <v>-13507</v>
      </c>
      <c r="AS54" s="5">
        <f t="shared" si="29"/>
        <v>0.29504</v>
      </c>
    </row>
    <row r="55" spans="1:45" ht="15">
      <c r="A55" s="1"/>
      <c r="B55" s="1"/>
      <c r="C55" s="1"/>
      <c r="D55" s="1" t="s">
        <v>84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22">
        <f t="shared" si="22"/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29">
        <f t="shared" si="23"/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244</v>
      </c>
      <c r="AM55" s="76">
        <f t="shared" si="24"/>
        <v>244</v>
      </c>
      <c r="AN55" s="4">
        <v>0</v>
      </c>
      <c r="AO55" s="4">
        <f t="shared" si="25"/>
        <v>48.8</v>
      </c>
      <c r="AP55" s="69">
        <f t="shared" si="26"/>
        <v>292.8</v>
      </c>
      <c r="AQ55" s="4">
        <f t="shared" si="27"/>
        <v>292.8</v>
      </c>
      <c r="AR55" s="4">
        <f t="shared" si="28"/>
        <v>244</v>
      </c>
      <c r="AS55" s="5">
        <f t="shared" si="29"/>
        <v>1</v>
      </c>
    </row>
    <row r="56" spans="1:45" ht="15">
      <c r="A56" s="1"/>
      <c r="B56" s="1"/>
      <c r="C56" s="1"/>
      <c r="D56" s="1" t="s">
        <v>85</v>
      </c>
      <c r="E56" s="4">
        <v>14493</v>
      </c>
      <c r="F56" s="4">
        <v>12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99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22">
        <f t="shared" si="22"/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29">
        <f t="shared" si="23"/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10</v>
      </c>
      <c r="AI56" s="4">
        <v>83</v>
      </c>
      <c r="AJ56" s="4">
        <v>7316</v>
      </c>
      <c r="AK56" s="4">
        <v>0</v>
      </c>
      <c r="AL56" s="4">
        <v>3407</v>
      </c>
      <c r="AM56" s="76">
        <f t="shared" si="24"/>
        <v>25420</v>
      </c>
      <c r="AN56" s="4">
        <v>65980</v>
      </c>
      <c r="AO56" s="4">
        <f t="shared" si="25"/>
        <v>5084</v>
      </c>
      <c r="AP56" s="69">
        <f t="shared" si="26"/>
        <v>30504</v>
      </c>
      <c r="AQ56" s="4">
        <f t="shared" si="27"/>
        <v>-35476</v>
      </c>
      <c r="AR56" s="4">
        <f t="shared" si="28"/>
        <v>-40560</v>
      </c>
      <c r="AS56" s="5">
        <f t="shared" si="29"/>
        <v>0.38527</v>
      </c>
    </row>
    <row r="57" spans="1:45" ht="15">
      <c r="A57" s="1"/>
      <c r="B57" s="1"/>
      <c r="C57" s="1"/>
      <c r="D57" s="1" t="s">
        <v>86</v>
      </c>
      <c r="E57" s="4">
        <v>6095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22">
        <f t="shared" si="22"/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29">
        <f t="shared" si="23"/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2612</v>
      </c>
      <c r="AM57" s="76">
        <f t="shared" si="24"/>
        <v>8707</v>
      </c>
      <c r="AN57" s="4">
        <v>9840</v>
      </c>
      <c r="AO57" s="4">
        <f t="shared" si="25"/>
        <v>1741.4</v>
      </c>
      <c r="AP57" s="69">
        <f t="shared" si="26"/>
        <v>10448.4</v>
      </c>
      <c r="AQ57" s="4">
        <f t="shared" si="27"/>
        <v>608.3999999999996</v>
      </c>
      <c r="AR57" s="4">
        <f t="shared" si="28"/>
        <v>-1133</v>
      </c>
      <c r="AS57" s="5">
        <f t="shared" si="29"/>
        <v>0.88486</v>
      </c>
    </row>
    <row r="58" spans="1:45" ht="15">
      <c r="A58" s="1"/>
      <c r="B58" s="1"/>
      <c r="C58" s="1"/>
      <c r="D58" s="1" t="s">
        <v>87</v>
      </c>
      <c r="E58" s="4">
        <v>848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22">
        <f t="shared" si="22"/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29">
        <f t="shared" si="23"/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364</v>
      </c>
      <c r="AM58" s="76">
        <f t="shared" si="24"/>
        <v>1212</v>
      </c>
      <c r="AN58" s="4">
        <v>1512</v>
      </c>
      <c r="AO58" s="4">
        <f t="shared" si="25"/>
        <v>242.4</v>
      </c>
      <c r="AP58" s="69">
        <f t="shared" si="26"/>
        <v>1454.4</v>
      </c>
      <c r="AQ58" s="4">
        <f t="shared" si="27"/>
        <v>-57.59999999999991</v>
      </c>
      <c r="AR58" s="4">
        <f t="shared" si="28"/>
        <v>-300</v>
      </c>
      <c r="AS58" s="5">
        <f t="shared" si="29"/>
        <v>0.80159</v>
      </c>
    </row>
    <row r="59" spans="1:45" ht="15">
      <c r="A59" s="1"/>
      <c r="B59" s="1"/>
      <c r="C59" s="1"/>
      <c r="D59" s="1" t="s">
        <v>88</v>
      </c>
      <c r="E59" s="4">
        <v>251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22">
        <f t="shared" si="22"/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29">
        <f t="shared" si="23"/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107</v>
      </c>
      <c r="AM59" s="76">
        <f t="shared" si="24"/>
        <v>358</v>
      </c>
      <c r="AN59" s="4">
        <v>420</v>
      </c>
      <c r="AO59" s="4">
        <f t="shared" si="25"/>
        <v>71.6</v>
      </c>
      <c r="AP59" s="69">
        <f t="shared" si="26"/>
        <v>429.6</v>
      </c>
      <c r="AQ59" s="4">
        <f t="shared" si="27"/>
        <v>9.600000000000023</v>
      </c>
      <c r="AR59" s="4">
        <f t="shared" si="28"/>
        <v>-62</v>
      </c>
      <c r="AS59" s="5">
        <f t="shared" si="29"/>
        <v>0.85238</v>
      </c>
    </row>
    <row r="60" spans="1:45" ht="15">
      <c r="A60" s="1"/>
      <c r="B60" s="1"/>
      <c r="C60" s="1"/>
      <c r="D60" s="1" t="s">
        <v>89</v>
      </c>
      <c r="E60" s="4">
        <v>2746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22">
        <f t="shared" si="22"/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29">
        <f t="shared" si="23"/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2674</v>
      </c>
      <c r="AM60" s="76">
        <f t="shared" si="24"/>
        <v>5420</v>
      </c>
      <c r="AN60" s="4">
        <v>6000</v>
      </c>
      <c r="AO60" s="4">
        <f t="shared" si="25"/>
        <v>1084</v>
      </c>
      <c r="AP60" s="69">
        <f t="shared" si="26"/>
        <v>6504</v>
      </c>
      <c r="AQ60" s="4">
        <f t="shared" si="27"/>
        <v>504</v>
      </c>
      <c r="AR60" s="4">
        <f t="shared" si="28"/>
        <v>-580</v>
      </c>
      <c r="AS60" s="5">
        <f t="shared" si="29"/>
        <v>0.90333</v>
      </c>
    </row>
    <row r="61" spans="1:45" ht="15">
      <c r="A61" s="1"/>
      <c r="B61" s="1"/>
      <c r="C61" s="1"/>
      <c r="D61" s="1" t="s">
        <v>90</v>
      </c>
      <c r="E61" s="4">
        <v>1136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22">
        <f t="shared" si="22"/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29">
        <f t="shared" si="23"/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76">
        <f t="shared" si="24"/>
        <v>1136</v>
      </c>
      <c r="AN61" s="4">
        <v>1344</v>
      </c>
      <c r="AO61" s="4">
        <f t="shared" si="25"/>
        <v>227.2</v>
      </c>
      <c r="AP61" s="69">
        <f t="shared" si="26"/>
        <v>1363.2</v>
      </c>
      <c r="AQ61" s="4">
        <f t="shared" si="27"/>
        <v>19.200000000000045</v>
      </c>
      <c r="AR61" s="4">
        <f t="shared" si="28"/>
        <v>-208</v>
      </c>
      <c r="AS61" s="5">
        <f t="shared" si="29"/>
        <v>0.84524</v>
      </c>
    </row>
    <row r="62" spans="1:45" ht="15">
      <c r="A62" s="1"/>
      <c r="B62" s="1"/>
      <c r="C62" s="1"/>
      <c r="D62" s="1" t="s">
        <v>91</v>
      </c>
      <c r="E62" s="4">
        <v>10017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22">
        <f t="shared" si="22"/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29">
        <f t="shared" si="23"/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76">
        <f t="shared" si="24"/>
        <v>10017</v>
      </c>
      <c r="AN62" s="4">
        <v>10452</v>
      </c>
      <c r="AO62" s="4">
        <f t="shared" si="25"/>
        <v>2003.4</v>
      </c>
      <c r="AP62" s="69">
        <f t="shared" si="26"/>
        <v>12020.4</v>
      </c>
      <c r="AQ62" s="4">
        <f t="shared" si="27"/>
        <v>1568.3999999999996</v>
      </c>
      <c r="AR62" s="4">
        <f t="shared" si="28"/>
        <v>-435</v>
      </c>
      <c r="AS62" s="5">
        <f t="shared" si="29"/>
        <v>0.95838</v>
      </c>
    </row>
    <row r="63" spans="1:45" ht="15">
      <c r="A63" s="1"/>
      <c r="B63" s="1"/>
      <c r="C63" s="1"/>
      <c r="D63" s="1" t="s">
        <v>92</v>
      </c>
      <c r="E63" s="4">
        <v>854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22">
        <f t="shared" si="22"/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29">
        <f t="shared" si="23"/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366</v>
      </c>
      <c r="AM63" s="76">
        <f t="shared" si="24"/>
        <v>1220</v>
      </c>
      <c r="AN63" s="4">
        <v>1452</v>
      </c>
      <c r="AO63" s="4">
        <f t="shared" si="25"/>
        <v>244</v>
      </c>
      <c r="AP63" s="69">
        <f t="shared" si="26"/>
        <v>1464</v>
      </c>
      <c r="AQ63" s="4">
        <f t="shared" si="27"/>
        <v>12</v>
      </c>
      <c r="AR63" s="4">
        <f t="shared" si="28"/>
        <v>-232</v>
      </c>
      <c r="AS63" s="5">
        <f t="shared" si="29"/>
        <v>0.84022</v>
      </c>
    </row>
    <row r="64" spans="1:45" ht="15">
      <c r="A64" s="1"/>
      <c r="B64" s="1"/>
      <c r="C64" s="1"/>
      <c r="D64" s="1" t="s">
        <v>93</v>
      </c>
      <c r="E64" s="4">
        <v>4262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22">
        <f t="shared" si="22"/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29">
        <f t="shared" si="23"/>
        <v>0</v>
      </c>
      <c r="AB64" s="4">
        <v>1285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76">
        <f t="shared" si="24"/>
        <v>5547</v>
      </c>
      <c r="AN64" s="4">
        <v>4400</v>
      </c>
      <c r="AO64" s="4">
        <f t="shared" si="25"/>
        <v>1109.4</v>
      </c>
      <c r="AP64" s="69">
        <f t="shared" si="26"/>
        <v>6656.4</v>
      </c>
      <c r="AQ64" s="4">
        <f t="shared" si="27"/>
        <v>2256.3999999999996</v>
      </c>
      <c r="AR64" s="4">
        <f t="shared" si="28"/>
        <v>1147</v>
      </c>
      <c r="AS64" s="5">
        <f t="shared" si="29"/>
        <v>1.26068</v>
      </c>
    </row>
    <row r="65" spans="1:45" ht="15">
      <c r="A65" s="1"/>
      <c r="B65" s="1"/>
      <c r="C65" s="1"/>
      <c r="D65" s="1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22">
        <f t="shared" si="22"/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29">
        <f t="shared" si="23"/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76">
        <f t="shared" si="24"/>
        <v>0</v>
      </c>
      <c r="AN65" s="4">
        <v>1836</v>
      </c>
      <c r="AO65" s="4">
        <f t="shared" si="25"/>
        <v>0</v>
      </c>
      <c r="AP65" s="69">
        <f t="shared" si="26"/>
        <v>0</v>
      </c>
      <c r="AQ65" s="4">
        <f t="shared" si="27"/>
        <v>-1836</v>
      </c>
      <c r="AR65" s="4">
        <f t="shared" si="28"/>
        <v>-1836</v>
      </c>
      <c r="AS65" s="5">
        <f t="shared" si="29"/>
        <v>0</v>
      </c>
    </row>
    <row r="66" spans="1:45" ht="15">
      <c r="A66" s="1"/>
      <c r="B66" s="1"/>
      <c r="C66" s="1"/>
      <c r="D66" s="1" t="s">
        <v>95</v>
      </c>
      <c r="E66" s="4">
        <v>2521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22">
        <f t="shared" si="22"/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29">
        <f t="shared" si="23"/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1473</v>
      </c>
      <c r="AK66" s="4">
        <v>0</v>
      </c>
      <c r="AL66" s="4">
        <v>425</v>
      </c>
      <c r="AM66" s="76">
        <f t="shared" si="24"/>
        <v>4419</v>
      </c>
      <c r="AN66" s="4">
        <v>14184</v>
      </c>
      <c r="AO66" s="4">
        <f t="shared" si="25"/>
        <v>883.8</v>
      </c>
      <c r="AP66" s="69">
        <f t="shared" si="26"/>
        <v>5302.8</v>
      </c>
      <c r="AQ66" s="4">
        <f t="shared" si="27"/>
        <v>-8881.2</v>
      </c>
      <c r="AR66" s="4">
        <f t="shared" si="28"/>
        <v>-9765</v>
      </c>
      <c r="AS66" s="5">
        <f t="shared" si="29"/>
        <v>0.31155</v>
      </c>
    </row>
    <row r="67" spans="1:45" ht="15">
      <c r="A67" s="1"/>
      <c r="B67" s="1"/>
      <c r="C67" s="1"/>
      <c r="D67" s="1" t="s">
        <v>96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22">
        <f t="shared" si="22"/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29">
        <f t="shared" si="23"/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76">
        <f t="shared" si="24"/>
        <v>0</v>
      </c>
      <c r="AN67" s="4">
        <v>5088</v>
      </c>
      <c r="AO67" s="4">
        <f t="shared" si="25"/>
        <v>0</v>
      </c>
      <c r="AP67" s="69">
        <f t="shared" si="26"/>
        <v>0</v>
      </c>
      <c r="AQ67" s="4">
        <f t="shared" si="27"/>
        <v>-5088</v>
      </c>
      <c r="AR67" s="4">
        <f t="shared" si="28"/>
        <v>-5088</v>
      </c>
      <c r="AS67" s="5">
        <f t="shared" si="29"/>
        <v>0</v>
      </c>
    </row>
    <row r="68" spans="1:45" ht="15">
      <c r="A68" s="1"/>
      <c r="B68" s="1"/>
      <c r="C68" s="1"/>
      <c r="D68" s="1" t="s">
        <v>97</v>
      </c>
      <c r="E68" s="4">
        <v>992</v>
      </c>
      <c r="F68" s="4">
        <v>45</v>
      </c>
      <c r="G68" s="4">
        <v>33</v>
      </c>
      <c r="H68" s="4">
        <v>0</v>
      </c>
      <c r="I68" s="4">
        <v>0</v>
      </c>
      <c r="J68" s="4">
        <v>108</v>
      </c>
      <c r="K68" s="4">
        <v>25</v>
      </c>
      <c r="L68" s="4">
        <v>0</v>
      </c>
      <c r="M68" s="4">
        <v>0</v>
      </c>
      <c r="N68" s="4">
        <v>0</v>
      </c>
      <c r="O68" s="4">
        <v>135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22">
        <f t="shared" si="22"/>
        <v>0</v>
      </c>
      <c r="V68" s="4">
        <v>308</v>
      </c>
      <c r="W68" s="4">
        <v>0</v>
      </c>
      <c r="X68" s="4">
        <v>0</v>
      </c>
      <c r="Y68" s="4">
        <v>0</v>
      </c>
      <c r="Z68" s="4">
        <v>817</v>
      </c>
      <c r="AA68" s="29">
        <f t="shared" si="23"/>
        <v>1125</v>
      </c>
      <c r="AB68" s="4">
        <v>0</v>
      </c>
      <c r="AC68" s="4">
        <v>0</v>
      </c>
      <c r="AD68" s="4">
        <v>74</v>
      </c>
      <c r="AE68" s="4">
        <v>0</v>
      </c>
      <c r="AF68" s="4">
        <v>0</v>
      </c>
      <c r="AG68" s="4">
        <v>0</v>
      </c>
      <c r="AH68" s="4">
        <v>0</v>
      </c>
      <c r="AI68" s="4">
        <v>60</v>
      </c>
      <c r="AJ68" s="4">
        <v>55</v>
      </c>
      <c r="AK68" s="4">
        <v>0</v>
      </c>
      <c r="AL68" s="4">
        <v>191</v>
      </c>
      <c r="AM68" s="76">
        <f t="shared" si="24"/>
        <v>2843</v>
      </c>
      <c r="AN68" s="4">
        <v>1140</v>
      </c>
      <c r="AO68" s="4">
        <f t="shared" si="25"/>
        <v>568.6</v>
      </c>
      <c r="AP68" s="69">
        <f t="shared" si="26"/>
        <v>3411.6</v>
      </c>
      <c r="AQ68" s="4">
        <f t="shared" si="27"/>
        <v>2271.6</v>
      </c>
      <c r="AR68" s="4">
        <f t="shared" si="28"/>
        <v>1703</v>
      </c>
      <c r="AS68" s="5">
        <f t="shared" si="29"/>
        <v>2.49386</v>
      </c>
    </row>
    <row r="69" spans="1:45" ht="15">
      <c r="A69" s="1"/>
      <c r="B69" s="1"/>
      <c r="C69" s="1"/>
      <c r="D69" s="1" t="s">
        <v>98</v>
      </c>
      <c r="E69" s="4">
        <v>220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1390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22">
        <f t="shared" si="22"/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29">
        <f t="shared" si="23"/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76">
        <f t="shared" si="24"/>
        <v>1610</v>
      </c>
      <c r="AN69" s="4">
        <v>0</v>
      </c>
      <c r="AO69" s="4">
        <f t="shared" si="25"/>
        <v>322</v>
      </c>
      <c r="AP69" s="69">
        <f t="shared" si="26"/>
        <v>1932</v>
      </c>
      <c r="AQ69" s="4">
        <f t="shared" si="27"/>
        <v>1932</v>
      </c>
      <c r="AR69" s="4">
        <f t="shared" si="28"/>
        <v>1610</v>
      </c>
      <c r="AS69" s="5">
        <f t="shared" si="29"/>
        <v>1</v>
      </c>
    </row>
    <row r="70" spans="1:45" ht="15">
      <c r="A70" s="1"/>
      <c r="B70" s="1"/>
      <c r="C70" s="1"/>
      <c r="D70" s="1" t="s">
        <v>99</v>
      </c>
      <c r="E70" s="4">
        <v>624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643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22">
        <f t="shared" si="22"/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29">
        <f t="shared" si="23"/>
        <v>0</v>
      </c>
      <c r="AB70" s="4">
        <v>0</v>
      </c>
      <c r="AC70" s="4">
        <v>0</v>
      </c>
      <c r="AD70" s="4">
        <v>331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76">
        <f t="shared" si="24"/>
        <v>1598</v>
      </c>
      <c r="AN70" s="4">
        <v>1212</v>
      </c>
      <c r="AO70" s="4">
        <f t="shared" si="25"/>
        <v>319.6</v>
      </c>
      <c r="AP70" s="69">
        <f t="shared" si="26"/>
        <v>1917.6</v>
      </c>
      <c r="AQ70" s="4">
        <f t="shared" si="27"/>
        <v>705.5999999999999</v>
      </c>
      <c r="AR70" s="4">
        <f t="shared" si="28"/>
        <v>386</v>
      </c>
      <c r="AS70" s="5">
        <f t="shared" si="29"/>
        <v>1.31848</v>
      </c>
    </row>
    <row r="71" spans="1:45" ht="15">
      <c r="A71" s="1"/>
      <c r="B71" s="1"/>
      <c r="C71" s="1"/>
      <c r="D71" s="1" t="s">
        <v>100</v>
      </c>
      <c r="E71" s="4">
        <v>8384</v>
      </c>
      <c r="F71" s="4">
        <v>514</v>
      </c>
      <c r="G71" s="4">
        <v>37</v>
      </c>
      <c r="H71" s="4">
        <v>0</v>
      </c>
      <c r="I71" s="4">
        <v>0</v>
      </c>
      <c r="J71" s="4">
        <v>108</v>
      </c>
      <c r="K71" s="4">
        <v>65</v>
      </c>
      <c r="L71" s="4">
        <v>0</v>
      </c>
      <c r="M71" s="4">
        <v>0</v>
      </c>
      <c r="N71" s="4">
        <v>145</v>
      </c>
      <c r="O71" s="4">
        <v>3205</v>
      </c>
      <c r="P71" s="4">
        <v>0</v>
      </c>
      <c r="Q71" s="4">
        <v>24</v>
      </c>
      <c r="R71" s="4">
        <v>0</v>
      </c>
      <c r="S71" s="4">
        <v>0</v>
      </c>
      <c r="T71" s="4">
        <v>743</v>
      </c>
      <c r="U71" s="22">
        <f t="shared" si="22"/>
        <v>767</v>
      </c>
      <c r="V71" s="4">
        <v>115</v>
      </c>
      <c r="W71" s="4">
        <v>0</v>
      </c>
      <c r="X71" s="4">
        <v>0</v>
      </c>
      <c r="Y71" s="4">
        <v>125</v>
      </c>
      <c r="Z71" s="4">
        <v>0</v>
      </c>
      <c r="AA71" s="29">
        <f t="shared" si="23"/>
        <v>240</v>
      </c>
      <c r="AB71" s="4">
        <v>312</v>
      </c>
      <c r="AC71" s="4">
        <v>103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9073</v>
      </c>
      <c r="AK71" s="4">
        <v>0</v>
      </c>
      <c r="AL71" s="4">
        <v>3869</v>
      </c>
      <c r="AM71" s="76">
        <f t="shared" si="24"/>
        <v>26822</v>
      </c>
      <c r="AN71" s="4">
        <v>32500</v>
      </c>
      <c r="AO71" s="4">
        <f t="shared" si="25"/>
        <v>5364.4</v>
      </c>
      <c r="AP71" s="69">
        <f t="shared" si="26"/>
        <v>32186.4</v>
      </c>
      <c r="AQ71" s="4">
        <f t="shared" si="27"/>
        <v>-313.59999999999854</v>
      </c>
      <c r="AR71" s="4">
        <f t="shared" si="28"/>
        <v>-5678</v>
      </c>
      <c r="AS71" s="5">
        <f t="shared" si="29"/>
        <v>0.82529</v>
      </c>
    </row>
    <row r="72" spans="1:45" ht="15">
      <c r="A72" s="1"/>
      <c r="B72" s="1"/>
      <c r="C72" s="1"/>
      <c r="D72" s="1" t="s">
        <v>101</v>
      </c>
      <c r="E72" s="4">
        <v>1262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22">
        <f t="shared" si="22"/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29">
        <f t="shared" si="23"/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76">
        <f t="shared" si="24"/>
        <v>1262</v>
      </c>
      <c r="AN72" s="4">
        <v>1560</v>
      </c>
      <c r="AO72" s="4">
        <f t="shared" si="25"/>
        <v>252.4</v>
      </c>
      <c r="AP72" s="69">
        <f t="shared" si="26"/>
        <v>1514.4</v>
      </c>
      <c r="AQ72" s="4">
        <f t="shared" si="27"/>
        <v>-45.59999999999991</v>
      </c>
      <c r="AR72" s="4">
        <f t="shared" si="28"/>
        <v>-298</v>
      </c>
      <c r="AS72" s="5">
        <f t="shared" si="29"/>
        <v>0.80897</v>
      </c>
    </row>
    <row r="73" spans="1:45" ht="15">
      <c r="A73" s="1"/>
      <c r="B73" s="1"/>
      <c r="C73" s="1"/>
      <c r="D73" s="1" t="s">
        <v>102</v>
      </c>
      <c r="E73" s="4">
        <v>2334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22">
        <f t="shared" si="22"/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29">
        <f t="shared" si="23"/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76">
        <f t="shared" si="24"/>
        <v>2334</v>
      </c>
      <c r="AN73" s="4">
        <v>6000</v>
      </c>
      <c r="AO73" s="4">
        <f t="shared" si="25"/>
        <v>466.8</v>
      </c>
      <c r="AP73" s="69">
        <f t="shared" si="26"/>
        <v>2800.8</v>
      </c>
      <c r="AQ73" s="4">
        <f t="shared" si="27"/>
        <v>-3199.2</v>
      </c>
      <c r="AR73" s="4">
        <f t="shared" si="28"/>
        <v>-3666</v>
      </c>
      <c r="AS73" s="5">
        <f t="shared" si="29"/>
        <v>0.389</v>
      </c>
    </row>
    <row r="74" spans="1:45" ht="15">
      <c r="A74" s="1"/>
      <c r="B74" s="1"/>
      <c r="C74" s="1"/>
      <c r="D74" s="1" t="s">
        <v>103</v>
      </c>
      <c r="E74" s="4">
        <v>10345</v>
      </c>
      <c r="F74" s="4">
        <v>0</v>
      </c>
      <c r="G74" s="4">
        <v>621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22454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22">
        <f t="shared" si="22"/>
        <v>0</v>
      </c>
      <c r="V74" s="4">
        <v>725</v>
      </c>
      <c r="W74" s="4">
        <v>0</v>
      </c>
      <c r="X74" s="4">
        <v>0</v>
      </c>
      <c r="Y74" s="4">
        <v>1884</v>
      </c>
      <c r="Z74" s="4">
        <v>4795</v>
      </c>
      <c r="AA74" s="29">
        <f t="shared" si="23"/>
        <v>7404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4612</v>
      </c>
      <c r="AK74" s="4">
        <v>0</v>
      </c>
      <c r="AL74" s="4">
        <v>2515</v>
      </c>
      <c r="AM74" s="76">
        <f t="shared" si="24"/>
        <v>47951</v>
      </c>
      <c r="AN74" s="4">
        <v>104684</v>
      </c>
      <c r="AO74" s="4">
        <f t="shared" si="25"/>
        <v>9590.2</v>
      </c>
      <c r="AP74" s="69">
        <f t="shared" si="26"/>
        <v>57541.2</v>
      </c>
      <c r="AQ74" s="4">
        <f t="shared" si="27"/>
        <v>-47142.8</v>
      </c>
      <c r="AR74" s="4">
        <f t="shared" si="28"/>
        <v>-56733</v>
      </c>
      <c r="AS74" s="5">
        <f t="shared" si="29"/>
        <v>0.45805</v>
      </c>
    </row>
    <row r="75" spans="1:45" ht="15">
      <c r="A75" s="1"/>
      <c r="B75" s="1"/>
      <c r="C75" s="1"/>
      <c r="D75" s="1" t="s">
        <v>170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22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29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76">
        <f aca="true" t="shared" si="30" ref="AM75">ROUND(E75+F75+G75+H75+I75+J75+K75+L75+M75+N75+O75+U75+AA75+AB75+AC75+AD75+AE75+AF75+AG75+AH75+AI75+AJ75+AK75+AL75,5)</f>
        <v>0</v>
      </c>
      <c r="AN75" s="4">
        <v>0</v>
      </c>
      <c r="AO75" s="4">
        <f aca="true" t="shared" si="31" ref="AO75">AM75/10*2</f>
        <v>0</v>
      </c>
      <c r="AP75" s="69">
        <f aca="true" t="shared" si="32" ref="AP75">+AM75+AO75</f>
        <v>0</v>
      </c>
      <c r="AQ75" s="4">
        <f aca="true" t="shared" si="33" ref="AQ75">+AP75-AN75</f>
        <v>0</v>
      </c>
      <c r="AR75" s="4">
        <f aca="true" t="shared" si="34" ref="AR75">ROUND((AM75-AN75),5)</f>
        <v>0</v>
      </c>
      <c r="AS75" s="5">
        <f aca="true" t="shared" si="35" ref="AS75">ROUND(IF(AN75=0,IF(AM75=0,0,1),AM75/AN75),5)</f>
        <v>0</v>
      </c>
    </row>
    <row r="76" spans="1:45" ht="15">
      <c r="A76" s="1"/>
      <c r="B76" s="1"/>
      <c r="C76" s="1"/>
      <c r="D76" s="1" t="s">
        <v>104</v>
      </c>
      <c r="E76" s="4">
        <v>111</v>
      </c>
      <c r="F76" s="4">
        <v>314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5934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22">
        <f t="shared" si="22"/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29">
        <f t="shared" si="23"/>
        <v>0</v>
      </c>
      <c r="AB76" s="4">
        <v>0</v>
      </c>
      <c r="AC76" s="4">
        <v>0</v>
      </c>
      <c r="AD76" s="4">
        <v>3173</v>
      </c>
      <c r="AE76" s="4">
        <v>0</v>
      </c>
      <c r="AF76" s="4">
        <v>0</v>
      </c>
      <c r="AG76" s="4">
        <v>0</v>
      </c>
      <c r="AH76" s="4">
        <v>0</v>
      </c>
      <c r="AI76" s="4">
        <v>20</v>
      </c>
      <c r="AJ76" s="4">
        <v>0</v>
      </c>
      <c r="AK76" s="4">
        <v>0</v>
      </c>
      <c r="AL76" s="4">
        <v>520</v>
      </c>
      <c r="AM76" s="76">
        <f t="shared" si="24"/>
        <v>10072</v>
      </c>
      <c r="AN76" s="4">
        <v>11470</v>
      </c>
      <c r="AO76" s="4">
        <f t="shared" si="25"/>
        <v>2014.4</v>
      </c>
      <c r="AP76" s="69">
        <f t="shared" si="26"/>
        <v>12086.4</v>
      </c>
      <c r="AQ76" s="4">
        <f t="shared" si="27"/>
        <v>616.3999999999996</v>
      </c>
      <c r="AR76" s="4">
        <f t="shared" si="28"/>
        <v>-1398</v>
      </c>
      <c r="AS76" s="5">
        <f t="shared" si="29"/>
        <v>0.87812</v>
      </c>
    </row>
    <row r="77" spans="1:45" ht="15">
      <c r="A77" s="1"/>
      <c r="B77" s="1"/>
      <c r="C77" s="1"/>
      <c r="D77" s="1" t="s">
        <v>105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22">
        <f aca="true" t="shared" si="36" ref="U77:U108">ROUND(P77+Q77+R77+S77+T77,5)</f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29">
        <f aca="true" t="shared" si="37" ref="AA77:AA108">ROUND(V77+W77+X77+Y77+Z77,5)</f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76">
        <f aca="true" t="shared" si="38" ref="AM77:AM108">ROUND(E77+F77+G77+H77+I77+J77+K77+L77+M77+N77+O77+U77+AA77+AB77+AC77+AD77+AE77+AF77+AG77+AH77+AI77+AJ77+AK77+AL77,5)</f>
        <v>0</v>
      </c>
      <c r="AN77" s="4">
        <v>1200</v>
      </c>
      <c r="AO77" s="4">
        <f t="shared" si="25"/>
        <v>0</v>
      </c>
      <c r="AP77" s="69">
        <f t="shared" si="26"/>
        <v>0</v>
      </c>
      <c r="AQ77" s="4">
        <f t="shared" si="27"/>
        <v>-1200</v>
      </c>
      <c r="AR77" s="4">
        <f aca="true" t="shared" si="39" ref="AR77:AR108">ROUND((AM77-AN77),5)</f>
        <v>-1200</v>
      </c>
      <c r="AS77" s="5">
        <f aca="true" t="shared" si="40" ref="AS77:AS108">ROUND(IF(AN77=0,IF(AM77=0,0,1),AM77/AN77),5)</f>
        <v>0</v>
      </c>
    </row>
    <row r="78" spans="1:45" ht="15">
      <c r="A78" s="1"/>
      <c r="B78" s="1"/>
      <c r="C78" s="1"/>
      <c r="D78" s="1" t="s">
        <v>106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1169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22">
        <f t="shared" si="36"/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29">
        <f t="shared" si="37"/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76">
        <f t="shared" si="38"/>
        <v>1169</v>
      </c>
      <c r="AN78" s="4">
        <v>1200</v>
      </c>
      <c r="AO78" s="4">
        <f t="shared" si="25"/>
        <v>233.8</v>
      </c>
      <c r="AP78" s="69">
        <f t="shared" si="26"/>
        <v>1402.8</v>
      </c>
      <c r="AQ78" s="4">
        <f t="shared" si="27"/>
        <v>202.79999999999995</v>
      </c>
      <c r="AR78" s="4">
        <f t="shared" si="39"/>
        <v>-31</v>
      </c>
      <c r="AS78" s="5">
        <f t="shared" si="40"/>
        <v>0.97417</v>
      </c>
    </row>
    <row r="79" spans="1:45" ht="15">
      <c r="A79" s="1"/>
      <c r="B79" s="1"/>
      <c r="C79" s="1"/>
      <c r="D79" s="1" t="s">
        <v>107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22">
        <f t="shared" si="36"/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29">
        <f t="shared" si="37"/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76">
        <f t="shared" si="38"/>
        <v>0</v>
      </c>
      <c r="AN79" s="4">
        <v>1200</v>
      </c>
      <c r="AO79" s="4">
        <f t="shared" si="25"/>
        <v>0</v>
      </c>
      <c r="AP79" s="69">
        <f t="shared" si="26"/>
        <v>0</v>
      </c>
      <c r="AQ79" s="4">
        <f t="shared" si="27"/>
        <v>-1200</v>
      </c>
      <c r="AR79" s="4">
        <f t="shared" si="39"/>
        <v>-1200</v>
      </c>
      <c r="AS79" s="5">
        <f t="shared" si="40"/>
        <v>0</v>
      </c>
    </row>
    <row r="80" spans="1:45" ht="15">
      <c r="A80" s="1"/>
      <c r="B80" s="1"/>
      <c r="C80" s="1"/>
      <c r="D80" s="1" t="s">
        <v>108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110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22">
        <f t="shared" si="36"/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29">
        <f t="shared" si="37"/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76">
        <f t="shared" si="38"/>
        <v>110</v>
      </c>
      <c r="AN80" s="4">
        <v>1200</v>
      </c>
      <c r="AO80" s="4">
        <f t="shared" si="25"/>
        <v>22</v>
      </c>
      <c r="AP80" s="69">
        <f t="shared" si="26"/>
        <v>132</v>
      </c>
      <c r="AQ80" s="4">
        <f t="shared" si="27"/>
        <v>-1068</v>
      </c>
      <c r="AR80" s="4">
        <f t="shared" si="39"/>
        <v>-1090</v>
      </c>
      <c r="AS80" s="5">
        <f t="shared" si="40"/>
        <v>0.09167</v>
      </c>
    </row>
    <row r="81" spans="1:45" ht="15">
      <c r="A81" s="1"/>
      <c r="B81" s="1"/>
      <c r="C81" s="1"/>
      <c r="D81" s="1" t="s">
        <v>109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22">
        <f t="shared" si="36"/>
        <v>0</v>
      </c>
      <c r="V81" s="4">
        <v>0</v>
      </c>
      <c r="W81" s="4">
        <v>0</v>
      </c>
      <c r="X81" s="4">
        <v>0</v>
      </c>
      <c r="Y81" s="4">
        <v>14</v>
      </c>
      <c r="Z81" s="4">
        <v>0</v>
      </c>
      <c r="AA81" s="29">
        <f t="shared" si="37"/>
        <v>14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76">
        <f t="shared" si="38"/>
        <v>14</v>
      </c>
      <c r="AN81" s="4">
        <v>1200</v>
      </c>
      <c r="AO81" s="4">
        <f t="shared" si="25"/>
        <v>2.8</v>
      </c>
      <c r="AP81" s="69">
        <f t="shared" si="26"/>
        <v>16.8</v>
      </c>
      <c r="AQ81" s="4">
        <f t="shared" si="27"/>
        <v>-1183.2</v>
      </c>
      <c r="AR81" s="4">
        <f t="shared" si="39"/>
        <v>-1186</v>
      </c>
      <c r="AS81" s="5">
        <f t="shared" si="40"/>
        <v>0.01167</v>
      </c>
    </row>
    <row r="82" spans="1:45" ht="15">
      <c r="A82" s="1"/>
      <c r="B82" s="1"/>
      <c r="C82" s="1"/>
      <c r="D82" s="1" t="s">
        <v>110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22">
        <f t="shared" si="36"/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29">
        <f t="shared" si="37"/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76">
        <f t="shared" si="38"/>
        <v>0</v>
      </c>
      <c r="AN82" s="4">
        <v>444</v>
      </c>
      <c r="AO82" s="4">
        <f t="shared" si="25"/>
        <v>0</v>
      </c>
      <c r="AP82" s="69">
        <f t="shared" si="26"/>
        <v>0</v>
      </c>
      <c r="AQ82" s="4">
        <f t="shared" si="27"/>
        <v>-444</v>
      </c>
      <c r="AR82" s="4">
        <f t="shared" si="39"/>
        <v>-444</v>
      </c>
      <c r="AS82" s="5">
        <f t="shared" si="40"/>
        <v>0</v>
      </c>
    </row>
    <row r="83" spans="1:45" ht="15">
      <c r="A83" s="1"/>
      <c r="B83" s="1"/>
      <c r="C83" s="1"/>
      <c r="D83" s="1" t="s">
        <v>111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218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22">
        <f t="shared" si="36"/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29">
        <f t="shared" si="37"/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76">
        <f t="shared" si="38"/>
        <v>218</v>
      </c>
      <c r="AN83" s="4">
        <v>0</v>
      </c>
      <c r="AO83" s="4">
        <f t="shared" si="25"/>
        <v>43.6</v>
      </c>
      <c r="AP83" s="69">
        <f t="shared" si="26"/>
        <v>261.6</v>
      </c>
      <c r="AQ83" s="4">
        <f t="shared" si="27"/>
        <v>261.6</v>
      </c>
      <c r="AR83" s="4">
        <f t="shared" si="39"/>
        <v>218</v>
      </c>
      <c r="AS83" s="5">
        <f t="shared" si="40"/>
        <v>1</v>
      </c>
    </row>
    <row r="84" spans="1:45" ht="15">
      <c r="A84" s="1"/>
      <c r="B84" s="1"/>
      <c r="C84" s="1"/>
      <c r="D84" s="1" t="s">
        <v>112</v>
      </c>
      <c r="E84" s="4">
        <v>782</v>
      </c>
      <c r="F84" s="4">
        <v>81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7873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22">
        <f t="shared" si="36"/>
        <v>0</v>
      </c>
      <c r="V84" s="4">
        <v>0</v>
      </c>
      <c r="W84" s="4">
        <v>0</v>
      </c>
      <c r="X84" s="4">
        <v>0</v>
      </c>
      <c r="Y84" s="4">
        <v>119</v>
      </c>
      <c r="Z84" s="4">
        <v>73</v>
      </c>
      <c r="AA84" s="29">
        <f t="shared" si="37"/>
        <v>192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83</v>
      </c>
      <c r="AK84" s="4">
        <v>0</v>
      </c>
      <c r="AL84" s="4">
        <v>1500</v>
      </c>
      <c r="AM84" s="76">
        <f t="shared" si="38"/>
        <v>10511</v>
      </c>
      <c r="AN84" s="4">
        <v>14860</v>
      </c>
      <c r="AO84" s="4">
        <f t="shared" si="25"/>
        <v>2102.2</v>
      </c>
      <c r="AP84" s="69">
        <f t="shared" si="26"/>
        <v>12613.2</v>
      </c>
      <c r="AQ84" s="4">
        <f t="shared" si="27"/>
        <v>-2246.7999999999993</v>
      </c>
      <c r="AR84" s="4">
        <f t="shared" si="39"/>
        <v>-4349</v>
      </c>
      <c r="AS84" s="5">
        <f t="shared" si="40"/>
        <v>0.70734</v>
      </c>
    </row>
    <row r="85" spans="1:45" ht="15">
      <c r="A85" s="1"/>
      <c r="B85" s="1"/>
      <c r="C85" s="1"/>
      <c r="D85" s="1" t="s">
        <v>113</v>
      </c>
      <c r="E85" s="4">
        <v>14851</v>
      </c>
      <c r="F85" s="4">
        <v>324</v>
      </c>
      <c r="G85" s="4">
        <v>141</v>
      </c>
      <c r="H85" s="4">
        <v>0</v>
      </c>
      <c r="I85" s="4">
        <v>0</v>
      </c>
      <c r="J85" s="4">
        <v>147</v>
      </c>
      <c r="K85" s="4">
        <v>0</v>
      </c>
      <c r="L85" s="4">
        <v>0</v>
      </c>
      <c r="M85" s="4">
        <v>7557</v>
      </c>
      <c r="N85" s="4">
        <v>0</v>
      </c>
      <c r="O85" s="4">
        <v>18218</v>
      </c>
      <c r="P85" s="4">
        <v>0</v>
      </c>
      <c r="Q85" s="4">
        <v>0</v>
      </c>
      <c r="R85" s="4">
        <v>0</v>
      </c>
      <c r="S85" s="4">
        <v>0</v>
      </c>
      <c r="T85" s="4">
        <v>293</v>
      </c>
      <c r="U85" s="22">
        <f t="shared" si="36"/>
        <v>293</v>
      </c>
      <c r="V85" s="4">
        <v>0</v>
      </c>
      <c r="W85" s="4">
        <v>0</v>
      </c>
      <c r="X85" s="4">
        <v>0</v>
      </c>
      <c r="Y85" s="4">
        <v>25</v>
      </c>
      <c r="Z85" s="4">
        <v>0</v>
      </c>
      <c r="AA85" s="29">
        <f t="shared" si="37"/>
        <v>25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95</v>
      </c>
      <c r="AJ85" s="4">
        <v>2932</v>
      </c>
      <c r="AK85" s="4">
        <v>0</v>
      </c>
      <c r="AL85" s="4">
        <v>4481</v>
      </c>
      <c r="AM85" s="76">
        <f t="shared" si="38"/>
        <v>49064</v>
      </c>
      <c r="AN85" s="4">
        <v>68140</v>
      </c>
      <c r="AO85" s="4">
        <f t="shared" si="25"/>
        <v>9812.8</v>
      </c>
      <c r="AP85" s="69">
        <f t="shared" si="26"/>
        <v>58876.8</v>
      </c>
      <c r="AQ85" s="4">
        <f t="shared" si="27"/>
        <v>-9263.199999999997</v>
      </c>
      <c r="AR85" s="4">
        <f t="shared" si="39"/>
        <v>-19076</v>
      </c>
      <c r="AS85" s="5">
        <f t="shared" si="40"/>
        <v>0.72005</v>
      </c>
    </row>
    <row r="86" spans="1:45" ht="15">
      <c r="A86" s="1"/>
      <c r="B86" s="1"/>
      <c r="C86" s="1"/>
      <c r="D86" s="1" t="s">
        <v>114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2200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22">
        <f t="shared" si="36"/>
        <v>0</v>
      </c>
      <c r="V86" s="4">
        <v>2614</v>
      </c>
      <c r="W86" s="4">
        <v>0</v>
      </c>
      <c r="X86" s="4">
        <v>2700</v>
      </c>
      <c r="Y86" s="4">
        <v>2300</v>
      </c>
      <c r="Z86" s="4">
        <v>0</v>
      </c>
      <c r="AA86" s="29">
        <f t="shared" si="37"/>
        <v>7614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76">
        <f t="shared" si="38"/>
        <v>9814</v>
      </c>
      <c r="AN86" s="4">
        <v>16781</v>
      </c>
      <c r="AO86" s="4">
        <f t="shared" si="25"/>
        <v>1962.8</v>
      </c>
      <c r="AP86" s="69">
        <f t="shared" si="26"/>
        <v>11776.8</v>
      </c>
      <c r="AQ86" s="4">
        <f t="shared" si="27"/>
        <v>-5004.200000000001</v>
      </c>
      <c r="AR86" s="4">
        <f t="shared" si="39"/>
        <v>-6967</v>
      </c>
      <c r="AS86" s="5">
        <f t="shared" si="40"/>
        <v>0.58483</v>
      </c>
    </row>
    <row r="87" spans="1:45" ht="15">
      <c r="A87" s="1"/>
      <c r="B87" s="1"/>
      <c r="C87" s="1"/>
      <c r="D87" s="1" t="s">
        <v>115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22">
        <f t="shared" si="36"/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29">
        <f t="shared" si="37"/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76">
        <f t="shared" si="38"/>
        <v>0</v>
      </c>
      <c r="AN87" s="4">
        <v>26448</v>
      </c>
      <c r="AO87" s="4">
        <f t="shared" si="25"/>
        <v>0</v>
      </c>
      <c r="AP87" s="69">
        <f t="shared" si="26"/>
        <v>0</v>
      </c>
      <c r="AQ87" s="4">
        <f t="shared" si="27"/>
        <v>-26448</v>
      </c>
      <c r="AR87" s="4">
        <f t="shared" si="39"/>
        <v>-26448</v>
      </c>
      <c r="AS87" s="5">
        <f t="shared" si="40"/>
        <v>0</v>
      </c>
    </row>
    <row r="88" spans="1:45" ht="15">
      <c r="A88" s="1"/>
      <c r="B88" s="1"/>
      <c r="C88" s="1"/>
      <c r="D88" s="1" t="s">
        <v>116</v>
      </c>
      <c r="E88" s="4">
        <v>313</v>
      </c>
      <c r="F88" s="4">
        <v>0</v>
      </c>
      <c r="G88" s="4">
        <v>450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22">
        <f t="shared" si="36"/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29">
        <f t="shared" si="37"/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600</v>
      </c>
      <c r="AJ88" s="4">
        <v>0</v>
      </c>
      <c r="AK88" s="4">
        <v>0</v>
      </c>
      <c r="AL88" s="4">
        <v>0</v>
      </c>
      <c r="AM88" s="76">
        <f t="shared" si="38"/>
        <v>1363</v>
      </c>
      <c r="AN88" s="4">
        <v>5720</v>
      </c>
      <c r="AO88" s="4">
        <f t="shared" si="25"/>
        <v>272.6</v>
      </c>
      <c r="AP88" s="69">
        <f t="shared" si="26"/>
        <v>1635.6</v>
      </c>
      <c r="AQ88" s="4">
        <f t="shared" si="27"/>
        <v>-4084.4</v>
      </c>
      <c r="AR88" s="4">
        <f t="shared" si="39"/>
        <v>-4357</v>
      </c>
      <c r="AS88" s="5">
        <f t="shared" si="40"/>
        <v>0.23829</v>
      </c>
    </row>
    <row r="89" spans="1:45" ht="15">
      <c r="A89" s="1"/>
      <c r="B89" s="1"/>
      <c r="C89" s="1"/>
      <c r="D89" s="1" t="s">
        <v>117</v>
      </c>
      <c r="E89" s="4">
        <v>132</v>
      </c>
      <c r="F89" s="4">
        <v>0</v>
      </c>
      <c r="G89" s="4">
        <v>0</v>
      </c>
      <c r="H89" s="4">
        <v>0</v>
      </c>
      <c r="I89" s="4">
        <v>0</v>
      </c>
      <c r="J89" s="4">
        <v>-195</v>
      </c>
      <c r="K89" s="4">
        <v>0</v>
      </c>
      <c r="L89" s="4">
        <v>-83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22">
        <f t="shared" si="36"/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29">
        <f t="shared" si="37"/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1499</v>
      </c>
      <c r="AJ89" s="4">
        <v>40</v>
      </c>
      <c r="AK89" s="4">
        <v>0</v>
      </c>
      <c r="AL89" s="4">
        <v>300</v>
      </c>
      <c r="AM89" s="76">
        <f t="shared" si="38"/>
        <v>1693</v>
      </c>
      <c r="AN89" s="4">
        <v>2940</v>
      </c>
      <c r="AO89" s="4">
        <f t="shared" si="25"/>
        <v>338.6</v>
      </c>
      <c r="AP89" s="69">
        <f t="shared" si="26"/>
        <v>2031.6</v>
      </c>
      <c r="AQ89" s="4">
        <f t="shared" si="27"/>
        <v>-908.4000000000001</v>
      </c>
      <c r="AR89" s="4">
        <f t="shared" si="39"/>
        <v>-1247</v>
      </c>
      <c r="AS89" s="5">
        <f t="shared" si="40"/>
        <v>0.57585</v>
      </c>
    </row>
    <row r="90" spans="1:45" ht="15">
      <c r="A90" s="1"/>
      <c r="B90" s="1"/>
      <c r="C90" s="1"/>
      <c r="D90" s="1" t="s">
        <v>118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8900</v>
      </c>
      <c r="P90" s="4">
        <v>1800</v>
      </c>
      <c r="Q90" s="4">
        <v>3700</v>
      </c>
      <c r="R90" s="4">
        <v>0</v>
      </c>
      <c r="S90" s="4">
        <v>1850</v>
      </c>
      <c r="T90" s="4">
        <v>7350</v>
      </c>
      <c r="U90" s="22">
        <f t="shared" si="36"/>
        <v>14700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29">
        <f t="shared" si="37"/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10000</v>
      </c>
      <c r="AK90" s="4">
        <v>0</v>
      </c>
      <c r="AL90" s="4">
        <v>85</v>
      </c>
      <c r="AM90" s="76">
        <f t="shared" si="38"/>
        <v>33685</v>
      </c>
      <c r="AN90" s="4">
        <v>121100</v>
      </c>
      <c r="AO90" s="4">
        <f t="shared" si="25"/>
        <v>6737</v>
      </c>
      <c r="AP90" s="69">
        <f t="shared" si="26"/>
        <v>40422</v>
      </c>
      <c r="AQ90" s="4">
        <f t="shared" si="27"/>
        <v>-80678</v>
      </c>
      <c r="AR90" s="4">
        <f t="shared" si="39"/>
        <v>-87415</v>
      </c>
      <c r="AS90" s="5">
        <f t="shared" si="40"/>
        <v>0.27816</v>
      </c>
    </row>
    <row r="91" spans="1:45" ht="15">
      <c r="A91" s="1"/>
      <c r="B91" s="1"/>
      <c r="C91" s="1"/>
      <c r="D91" s="1" t="s">
        <v>119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1687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22">
        <f t="shared" si="36"/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29">
        <f t="shared" si="37"/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76">
        <f t="shared" si="38"/>
        <v>1687</v>
      </c>
      <c r="AN91" s="4">
        <v>900</v>
      </c>
      <c r="AO91" s="4">
        <f t="shared" si="25"/>
        <v>337.4</v>
      </c>
      <c r="AP91" s="69">
        <f t="shared" si="26"/>
        <v>2024.4</v>
      </c>
      <c r="AQ91" s="4">
        <f t="shared" si="27"/>
        <v>1124.4</v>
      </c>
      <c r="AR91" s="4">
        <f t="shared" si="39"/>
        <v>787</v>
      </c>
      <c r="AS91" s="5">
        <f t="shared" si="40"/>
        <v>1.87444</v>
      </c>
    </row>
    <row r="92" spans="1:45" ht="15">
      <c r="A92" s="1"/>
      <c r="B92" s="1"/>
      <c r="C92" s="1"/>
      <c r="D92" s="1" t="s">
        <v>120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22">
        <f t="shared" si="36"/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29">
        <f t="shared" si="37"/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76">
        <f t="shared" si="38"/>
        <v>0</v>
      </c>
      <c r="AN92" s="4">
        <v>8900</v>
      </c>
      <c r="AO92" s="4">
        <f t="shared" si="25"/>
        <v>0</v>
      </c>
      <c r="AP92" s="69">
        <f t="shared" si="26"/>
        <v>0</v>
      </c>
      <c r="AQ92" s="4">
        <f t="shared" si="27"/>
        <v>-8900</v>
      </c>
      <c r="AR92" s="4">
        <f t="shared" si="39"/>
        <v>-8900</v>
      </c>
      <c r="AS92" s="5">
        <f t="shared" si="40"/>
        <v>0</v>
      </c>
    </row>
    <row r="93" spans="1:45" ht="15">
      <c r="A93" s="1"/>
      <c r="B93" s="1"/>
      <c r="C93" s="1"/>
      <c r="D93" s="1" t="s">
        <v>121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3000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22">
        <f t="shared" si="36"/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29">
        <f t="shared" si="37"/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8000</v>
      </c>
      <c r="AH93" s="4">
        <v>0</v>
      </c>
      <c r="AI93" s="4">
        <v>0</v>
      </c>
      <c r="AJ93" s="4">
        <v>0</v>
      </c>
      <c r="AK93" s="4">
        <v>0</v>
      </c>
      <c r="AL93" s="4">
        <v>900</v>
      </c>
      <c r="AM93" s="76">
        <f t="shared" si="38"/>
        <v>11900</v>
      </c>
      <c r="AN93" s="4">
        <v>15924</v>
      </c>
      <c r="AO93" s="4">
        <f t="shared" si="25"/>
        <v>2380</v>
      </c>
      <c r="AP93" s="69">
        <f t="shared" si="26"/>
        <v>14280</v>
      </c>
      <c r="AQ93" s="4">
        <f t="shared" si="27"/>
        <v>-1644</v>
      </c>
      <c r="AR93" s="4">
        <f t="shared" si="39"/>
        <v>-4024</v>
      </c>
      <c r="AS93" s="5">
        <f t="shared" si="40"/>
        <v>0.7473</v>
      </c>
    </row>
    <row r="94" spans="1:45" ht="15">
      <c r="A94" s="1"/>
      <c r="B94" s="1"/>
      <c r="C94" s="1"/>
      <c r="D94" s="1" t="s">
        <v>122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22">
        <f t="shared" si="36"/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29">
        <f t="shared" si="37"/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350</v>
      </c>
      <c r="AJ94" s="4">
        <v>0</v>
      </c>
      <c r="AK94" s="4">
        <v>0</v>
      </c>
      <c r="AL94" s="4">
        <v>0</v>
      </c>
      <c r="AM94" s="76">
        <f t="shared" si="38"/>
        <v>350</v>
      </c>
      <c r="AN94" s="4">
        <v>1200</v>
      </c>
      <c r="AO94" s="4">
        <f t="shared" si="25"/>
        <v>70</v>
      </c>
      <c r="AP94" s="69">
        <f t="shared" si="26"/>
        <v>420</v>
      </c>
      <c r="AQ94" s="4">
        <f t="shared" si="27"/>
        <v>-780</v>
      </c>
      <c r="AR94" s="4">
        <f t="shared" si="39"/>
        <v>-850</v>
      </c>
      <c r="AS94" s="5">
        <f t="shared" si="40"/>
        <v>0.29167</v>
      </c>
    </row>
    <row r="95" spans="1:45" ht="15">
      <c r="A95" s="1"/>
      <c r="B95" s="1"/>
      <c r="C95" s="1"/>
      <c r="D95" s="1" t="s">
        <v>123</v>
      </c>
      <c r="E95" s="4">
        <v>5237</v>
      </c>
      <c r="F95" s="4">
        <v>2660</v>
      </c>
      <c r="G95" s="4">
        <v>2479</v>
      </c>
      <c r="H95" s="4">
        <v>0</v>
      </c>
      <c r="I95" s="4">
        <v>0</v>
      </c>
      <c r="J95" s="4">
        <v>0</v>
      </c>
      <c r="K95" s="4">
        <v>402</v>
      </c>
      <c r="L95" s="4">
        <v>0</v>
      </c>
      <c r="M95" s="4">
        <v>0</v>
      </c>
      <c r="N95" s="4">
        <v>1040</v>
      </c>
      <c r="O95" s="4">
        <v>3154</v>
      </c>
      <c r="P95" s="4">
        <v>1393</v>
      </c>
      <c r="Q95" s="4">
        <v>177</v>
      </c>
      <c r="R95" s="4">
        <v>0</v>
      </c>
      <c r="S95" s="4">
        <v>0</v>
      </c>
      <c r="T95" s="4">
        <v>5432</v>
      </c>
      <c r="U95" s="22">
        <f t="shared" si="36"/>
        <v>7002</v>
      </c>
      <c r="V95" s="4">
        <v>1733</v>
      </c>
      <c r="W95" s="4">
        <v>0</v>
      </c>
      <c r="X95" s="4">
        <v>0</v>
      </c>
      <c r="Y95" s="4">
        <v>700</v>
      </c>
      <c r="Z95" s="4">
        <v>1041</v>
      </c>
      <c r="AA95" s="29">
        <f t="shared" si="37"/>
        <v>3474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509</v>
      </c>
      <c r="AI95" s="4">
        <v>2895</v>
      </c>
      <c r="AJ95" s="4">
        <v>10568</v>
      </c>
      <c r="AK95" s="4">
        <v>0</v>
      </c>
      <c r="AL95" s="4">
        <v>19983</v>
      </c>
      <c r="AM95" s="76">
        <f t="shared" si="38"/>
        <v>59403</v>
      </c>
      <c r="AN95" s="4">
        <v>74900</v>
      </c>
      <c r="AO95" s="4">
        <f t="shared" si="25"/>
        <v>11880.6</v>
      </c>
      <c r="AP95" s="69">
        <f t="shared" si="26"/>
        <v>71283.6</v>
      </c>
      <c r="AQ95" s="4">
        <f t="shared" si="27"/>
        <v>-3616.399999999994</v>
      </c>
      <c r="AR95" s="4">
        <f t="shared" si="39"/>
        <v>-15497</v>
      </c>
      <c r="AS95" s="5">
        <f t="shared" si="40"/>
        <v>0.7931</v>
      </c>
    </row>
    <row r="96" spans="1:45" ht="15">
      <c r="A96" s="1"/>
      <c r="B96" s="1"/>
      <c r="C96" s="1"/>
      <c r="D96" s="1" t="s">
        <v>124</v>
      </c>
      <c r="E96" s="4">
        <v>1263</v>
      </c>
      <c r="F96" s="4">
        <v>3035</v>
      </c>
      <c r="G96" s="4">
        <v>403</v>
      </c>
      <c r="H96" s="4">
        <v>0</v>
      </c>
      <c r="I96" s="4">
        <v>0</v>
      </c>
      <c r="J96" s="4">
        <v>0</v>
      </c>
      <c r="K96" s="4">
        <v>207</v>
      </c>
      <c r="L96" s="4">
        <v>0</v>
      </c>
      <c r="M96" s="4">
        <v>0</v>
      </c>
      <c r="N96" s="4">
        <v>0</v>
      </c>
      <c r="O96" s="4">
        <v>3681</v>
      </c>
      <c r="P96" s="4">
        <v>0</v>
      </c>
      <c r="Q96" s="4">
        <v>90</v>
      </c>
      <c r="R96" s="4">
        <v>0</v>
      </c>
      <c r="S96" s="4">
        <v>0</v>
      </c>
      <c r="T96" s="4">
        <v>390</v>
      </c>
      <c r="U96" s="22">
        <f t="shared" si="36"/>
        <v>480</v>
      </c>
      <c r="V96" s="4">
        <v>93</v>
      </c>
      <c r="W96" s="4">
        <v>0</v>
      </c>
      <c r="X96" s="4">
        <v>0</v>
      </c>
      <c r="Y96" s="4">
        <v>375</v>
      </c>
      <c r="Z96" s="4">
        <v>318</v>
      </c>
      <c r="AA96" s="29">
        <f t="shared" si="37"/>
        <v>786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973</v>
      </c>
      <c r="AJ96" s="4">
        <v>2353</v>
      </c>
      <c r="AK96" s="4">
        <v>0</v>
      </c>
      <c r="AL96" s="4">
        <v>1530</v>
      </c>
      <c r="AM96" s="76">
        <f t="shared" si="38"/>
        <v>14711</v>
      </c>
      <c r="AN96" s="4">
        <v>22208</v>
      </c>
      <c r="AO96" s="4">
        <f t="shared" si="25"/>
        <v>2942.2</v>
      </c>
      <c r="AP96" s="69">
        <f t="shared" si="26"/>
        <v>17653.2</v>
      </c>
      <c r="AQ96" s="4">
        <f t="shared" si="27"/>
        <v>-4554.799999999999</v>
      </c>
      <c r="AR96" s="4">
        <f t="shared" si="39"/>
        <v>-7497</v>
      </c>
      <c r="AS96" s="5">
        <f t="shared" si="40"/>
        <v>0.66242</v>
      </c>
    </row>
    <row r="97" spans="1:45" ht="15">
      <c r="A97" s="1"/>
      <c r="B97" s="1"/>
      <c r="C97" s="1"/>
      <c r="D97" s="1" t="s">
        <v>125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2000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22">
        <f t="shared" si="36"/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29">
        <f t="shared" si="37"/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76">
        <f t="shared" si="38"/>
        <v>2000</v>
      </c>
      <c r="AN97" s="4">
        <v>4000</v>
      </c>
      <c r="AO97" s="4">
        <f t="shared" si="25"/>
        <v>400</v>
      </c>
      <c r="AP97" s="69">
        <f t="shared" si="26"/>
        <v>2400</v>
      </c>
      <c r="AQ97" s="4">
        <f t="shared" si="27"/>
        <v>-1600</v>
      </c>
      <c r="AR97" s="4">
        <f t="shared" si="39"/>
        <v>-2000</v>
      </c>
      <c r="AS97" s="5">
        <f t="shared" si="40"/>
        <v>0.5</v>
      </c>
    </row>
    <row r="98" spans="1:45" ht="15">
      <c r="A98" s="1"/>
      <c r="B98" s="1"/>
      <c r="C98" s="1"/>
      <c r="D98" s="1" t="s">
        <v>126</v>
      </c>
      <c r="E98" s="4">
        <v>0</v>
      </c>
      <c r="F98" s="4">
        <v>-65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-4266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22">
        <f t="shared" si="36"/>
        <v>0</v>
      </c>
      <c r="V98" s="4">
        <v>10873</v>
      </c>
      <c r="W98" s="4">
        <v>0</v>
      </c>
      <c r="X98" s="4">
        <v>0</v>
      </c>
      <c r="Y98" s="4">
        <v>9338</v>
      </c>
      <c r="Z98" s="4">
        <v>12031</v>
      </c>
      <c r="AA98" s="29">
        <f t="shared" si="37"/>
        <v>32242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76">
        <f t="shared" si="38"/>
        <v>27911</v>
      </c>
      <c r="AN98" s="4">
        <v>188218</v>
      </c>
      <c r="AO98" s="4">
        <v>200000</v>
      </c>
      <c r="AP98" s="69">
        <f t="shared" si="26"/>
        <v>227911</v>
      </c>
      <c r="AQ98" s="4">
        <f t="shared" si="27"/>
        <v>39693</v>
      </c>
      <c r="AR98" s="4">
        <f t="shared" si="39"/>
        <v>-160307</v>
      </c>
      <c r="AS98" s="5">
        <f t="shared" si="40"/>
        <v>0.14829</v>
      </c>
    </row>
    <row r="99" spans="1:45" ht="15">
      <c r="A99" s="1"/>
      <c r="B99" s="1"/>
      <c r="C99" s="1"/>
      <c r="D99" s="1" t="s">
        <v>127</v>
      </c>
      <c r="E99" s="4">
        <v>0</v>
      </c>
      <c r="F99" s="4">
        <v>4574</v>
      </c>
      <c r="G99" s="4">
        <v>2022</v>
      </c>
      <c r="H99" s="4">
        <v>0</v>
      </c>
      <c r="I99" s="4">
        <v>0</v>
      </c>
      <c r="J99" s="4">
        <v>0</v>
      </c>
      <c r="K99" s="4">
        <v>151</v>
      </c>
      <c r="L99" s="4">
        <v>0</v>
      </c>
      <c r="M99" s="4">
        <v>0</v>
      </c>
      <c r="N99" s="4">
        <v>211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2153</v>
      </c>
      <c r="U99" s="22">
        <f t="shared" si="36"/>
        <v>2153</v>
      </c>
      <c r="V99" s="4">
        <v>0</v>
      </c>
      <c r="W99" s="4">
        <v>0</v>
      </c>
      <c r="X99" s="4">
        <v>0</v>
      </c>
      <c r="Y99" s="4">
        <v>753</v>
      </c>
      <c r="Z99" s="4">
        <v>1594</v>
      </c>
      <c r="AA99" s="29">
        <f t="shared" si="37"/>
        <v>2347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2474</v>
      </c>
      <c r="AJ99" s="4">
        <v>966</v>
      </c>
      <c r="AK99" s="4">
        <v>0</v>
      </c>
      <c r="AL99" s="4">
        <v>1519</v>
      </c>
      <c r="AM99" s="76">
        <f t="shared" si="38"/>
        <v>16417</v>
      </c>
      <c r="AN99" s="4">
        <v>81956</v>
      </c>
      <c r="AO99" s="4">
        <f t="shared" si="25"/>
        <v>3283.4</v>
      </c>
      <c r="AP99" s="69">
        <f t="shared" si="26"/>
        <v>19700.4</v>
      </c>
      <c r="AQ99" s="4">
        <f t="shared" si="27"/>
        <v>-62255.6</v>
      </c>
      <c r="AR99" s="4">
        <f t="shared" si="39"/>
        <v>-65539</v>
      </c>
      <c r="AS99" s="5">
        <f t="shared" si="40"/>
        <v>0.20031</v>
      </c>
    </row>
    <row r="100" spans="1:45" ht="15">
      <c r="A100" s="1"/>
      <c r="B100" s="1"/>
      <c r="C100" s="1"/>
      <c r="D100" s="1" t="s">
        <v>128</v>
      </c>
      <c r="E100" s="4">
        <v>18405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22">
        <f t="shared" si="36"/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29">
        <f t="shared" si="37"/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76">
        <f t="shared" si="38"/>
        <v>18405</v>
      </c>
      <c r="AN100" s="4">
        <v>19200</v>
      </c>
      <c r="AO100" s="4">
        <f t="shared" si="25"/>
        <v>3681</v>
      </c>
      <c r="AP100" s="69">
        <f t="shared" si="26"/>
        <v>22086</v>
      </c>
      <c r="AQ100" s="4">
        <f t="shared" si="27"/>
        <v>2886</v>
      </c>
      <c r="AR100" s="4">
        <f t="shared" si="39"/>
        <v>-795</v>
      </c>
      <c r="AS100" s="5">
        <f t="shared" si="40"/>
        <v>0.95859</v>
      </c>
    </row>
    <row r="101" spans="1:45" ht="15">
      <c r="A101" s="1"/>
      <c r="B101" s="1"/>
      <c r="C101" s="1"/>
      <c r="D101" s="1" t="s">
        <v>129</v>
      </c>
      <c r="E101" s="4">
        <v>25811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22">
        <f t="shared" si="36"/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29">
        <f t="shared" si="37"/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76">
        <f t="shared" si="38"/>
        <v>25811</v>
      </c>
      <c r="AN101" s="4">
        <v>22920</v>
      </c>
      <c r="AO101" s="4">
        <f t="shared" si="25"/>
        <v>5162.2</v>
      </c>
      <c r="AP101" s="69">
        <f t="shared" si="26"/>
        <v>30973.2</v>
      </c>
      <c r="AQ101" s="4">
        <f t="shared" si="27"/>
        <v>8053.200000000001</v>
      </c>
      <c r="AR101" s="4">
        <f t="shared" si="39"/>
        <v>2891</v>
      </c>
      <c r="AS101" s="5">
        <f t="shared" si="40"/>
        <v>1.12613</v>
      </c>
    </row>
    <row r="102" spans="1:45" ht="15">
      <c r="A102" s="1"/>
      <c r="B102" s="1"/>
      <c r="C102" s="1"/>
      <c r="D102" s="1" t="s">
        <v>130</v>
      </c>
      <c r="E102" s="4">
        <v>4471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155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22">
        <f t="shared" si="36"/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29">
        <f t="shared" si="37"/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76">
        <f t="shared" si="38"/>
        <v>4626</v>
      </c>
      <c r="AN102" s="4">
        <v>2700</v>
      </c>
      <c r="AO102" s="4">
        <f t="shared" si="25"/>
        <v>925.2</v>
      </c>
      <c r="AP102" s="69">
        <f t="shared" si="26"/>
        <v>5551.2</v>
      </c>
      <c r="AQ102" s="4">
        <f t="shared" si="27"/>
        <v>2851.2</v>
      </c>
      <c r="AR102" s="4">
        <f t="shared" si="39"/>
        <v>1926</v>
      </c>
      <c r="AS102" s="5">
        <f t="shared" si="40"/>
        <v>1.71333</v>
      </c>
    </row>
    <row r="103" spans="1:45" ht="15">
      <c r="A103" s="1"/>
      <c r="B103" s="1"/>
      <c r="C103" s="1"/>
      <c r="D103" s="1" t="s">
        <v>131</v>
      </c>
      <c r="E103" s="4">
        <v>98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16239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22">
        <f t="shared" si="36"/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29">
        <f t="shared" si="37"/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76">
        <f t="shared" si="38"/>
        <v>16337</v>
      </c>
      <c r="AN103" s="4">
        <v>22000</v>
      </c>
      <c r="AO103" s="4">
        <f t="shared" si="25"/>
        <v>3267.4</v>
      </c>
      <c r="AP103" s="69">
        <f t="shared" si="26"/>
        <v>19604.4</v>
      </c>
      <c r="AQ103" s="4">
        <f t="shared" si="27"/>
        <v>-2395.5999999999985</v>
      </c>
      <c r="AR103" s="4">
        <f t="shared" si="39"/>
        <v>-5663</v>
      </c>
      <c r="AS103" s="5">
        <f t="shared" si="40"/>
        <v>0.74259</v>
      </c>
    </row>
    <row r="104" spans="1:45" ht="15">
      <c r="A104" s="1"/>
      <c r="B104" s="1"/>
      <c r="C104" s="1"/>
      <c r="D104" s="1" t="s">
        <v>132</v>
      </c>
      <c r="E104" s="4">
        <v>46135</v>
      </c>
      <c r="F104" s="4">
        <v>3177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94954</v>
      </c>
      <c r="P104" s="4">
        <v>0</v>
      </c>
      <c r="Q104" s="4">
        <v>0</v>
      </c>
      <c r="R104" s="4">
        <v>0</v>
      </c>
      <c r="S104" s="4">
        <v>0</v>
      </c>
      <c r="T104" s="4">
        <v>5500</v>
      </c>
      <c r="U104" s="22">
        <f t="shared" si="36"/>
        <v>5500</v>
      </c>
      <c r="V104" s="4">
        <v>75</v>
      </c>
      <c r="W104" s="4">
        <v>0</v>
      </c>
      <c r="X104" s="4">
        <v>0</v>
      </c>
      <c r="Y104" s="4">
        <v>0</v>
      </c>
      <c r="Z104" s="4">
        <v>275</v>
      </c>
      <c r="AA104" s="29">
        <f t="shared" si="37"/>
        <v>350</v>
      </c>
      <c r="AB104" s="4">
        <v>0</v>
      </c>
      <c r="AC104" s="4">
        <v>0</v>
      </c>
      <c r="AD104" s="4">
        <v>2780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53551</v>
      </c>
      <c r="AK104" s="4">
        <v>0</v>
      </c>
      <c r="AL104" s="4">
        <v>32018</v>
      </c>
      <c r="AM104" s="76">
        <f t="shared" si="38"/>
        <v>238465</v>
      </c>
      <c r="AN104" s="4">
        <v>379304</v>
      </c>
      <c r="AO104" s="4">
        <f t="shared" si="25"/>
        <v>47693</v>
      </c>
      <c r="AP104" s="69">
        <f t="shared" si="26"/>
        <v>286158</v>
      </c>
      <c r="AQ104" s="4">
        <f t="shared" si="27"/>
        <v>-93146</v>
      </c>
      <c r="AR104" s="4">
        <f t="shared" si="39"/>
        <v>-140839</v>
      </c>
      <c r="AS104" s="5">
        <f t="shared" si="40"/>
        <v>0.62869</v>
      </c>
    </row>
    <row r="105" spans="1:45" ht="15">
      <c r="A105" s="1"/>
      <c r="B105" s="1"/>
      <c r="C105" s="1"/>
      <c r="D105" s="1" t="s">
        <v>133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23300</v>
      </c>
      <c r="Q105" s="4">
        <v>587</v>
      </c>
      <c r="R105" s="4">
        <v>3600</v>
      </c>
      <c r="S105" s="4">
        <v>4800</v>
      </c>
      <c r="T105" s="4">
        <v>71700</v>
      </c>
      <c r="U105" s="22">
        <f t="shared" si="36"/>
        <v>103987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29">
        <f t="shared" si="37"/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40000</v>
      </c>
      <c r="AI105" s="4">
        <v>0</v>
      </c>
      <c r="AJ105" s="4">
        <v>0</v>
      </c>
      <c r="AK105" s="4">
        <v>12133</v>
      </c>
      <c r="AL105" s="4">
        <v>0</v>
      </c>
      <c r="AM105" s="76">
        <f t="shared" si="38"/>
        <v>156120</v>
      </c>
      <c r="AN105" s="4">
        <v>64800</v>
      </c>
      <c r="AO105" s="4">
        <f t="shared" si="25"/>
        <v>31224</v>
      </c>
      <c r="AP105" s="69">
        <f t="shared" si="26"/>
        <v>187344</v>
      </c>
      <c r="AQ105" s="4">
        <f t="shared" si="27"/>
        <v>122544</v>
      </c>
      <c r="AR105" s="4">
        <f t="shared" si="39"/>
        <v>91320</v>
      </c>
      <c r="AS105" s="5">
        <f t="shared" si="40"/>
        <v>2.40926</v>
      </c>
    </row>
    <row r="106" spans="1:45" ht="15">
      <c r="A106" s="1"/>
      <c r="B106" s="1"/>
      <c r="C106" s="1"/>
      <c r="D106" s="1" t="s">
        <v>134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22">
        <f t="shared" si="36"/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29">
        <f t="shared" si="37"/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515</v>
      </c>
      <c r="AI106" s="4">
        <v>0</v>
      </c>
      <c r="AJ106" s="4">
        <v>0</v>
      </c>
      <c r="AK106" s="4">
        <v>0</v>
      </c>
      <c r="AL106" s="4">
        <v>0</v>
      </c>
      <c r="AM106" s="76">
        <f t="shared" si="38"/>
        <v>515</v>
      </c>
      <c r="AN106" s="4">
        <v>0</v>
      </c>
      <c r="AO106" s="4">
        <f t="shared" si="25"/>
        <v>103</v>
      </c>
      <c r="AP106" s="69">
        <f t="shared" si="26"/>
        <v>618</v>
      </c>
      <c r="AQ106" s="4">
        <f t="shared" si="27"/>
        <v>618</v>
      </c>
      <c r="AR106" s="4">
        <f t="shared" si="39"/>
        <v>515</v>
      </c>
      <c r="AS106" s="5">
        <f t="shared" si="40"/>
        <v>1</v>
      </c>
    </row>
    <row r="107" spans="1:45" ht="15">
      <c r="A107" s="1"/>
      <c r="B107" s="1"/>
      <c r="C107" s="1"/>
      <c r="D107" s="1" t="s">
        <v>135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2820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22">
        <f t="shared" si="36"/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29">
        <f t="shared" si="37"/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250</v>
      </c>
      <c r="AJ107" s="4">
        <v>0</v>
      </c>
      <c r="AK107" s="4">
        <v>0</v>
      </c>
      <c r="AL107" s="4">
        <v>0</v>
      </c>
      <c r="AM107" s="76">
        <f t="shared" si="38"/>
        <v>3070</v>
      </c>
      <c r="AN107" s="4">
        <v>3456</v>
      </c>
      <c r="AO107" s="4">
        <f t="shared" si="25"/>
        <v>614</v>
      </c>
      <c r="AP107" s="69">
        <f t="shared" si="26"/>
        <v>3684</v>
      </c>
      <c r="AQ107" s="4">
        <f t="shared" si="27"/>
        <v>228</v>
      </c>
      <c r="AR107" s="4">
        <f t="shared" si="39"/>
        <v>-386</v>
      </c>
      <c r="AS107" s="5">
        <f t="shared" si="40"/>
        <v>0.88831</v>
      </c>
    </row>
    <row r="108" spans="1:45" ht="15">
      <c r="A108" s="1"/>
      <c r="B108" s="1"/>
      <c r="C108" s="1"/>
      <c r="D108" s="1" t="s">
        <v>136</v>
      </c>
      <c r="E108" s="4">
        <v>9872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22">
        <f t="shared" si="36"/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29">
        <f t="shared" si="37"/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76">
        <f t="shared" si="38"/>
        <v>9872</v>
      </c>
      <c r="AN108" s="4">
        <v>13380</v>
      </c>
      <c r="AO108" s="4">
        <f t="shared" si="25"/>
        <v>1974.4</v>
      </c>
      <c r="AP108" s="69">
        <f t="shared" si="26"/>
        <v>11846.4</v>
      </c>
      <c r="AQ108" s="4">
        <f t="shared" si="27"/>
        <v>-1533.6000000000004</v>
      </c>
      <c r="AR108" s="4">
        <f t="shared" si="39"/>
        <v>-3508</v>
      </c>
      <c r="AS108" s="5">
        <f t="shared" si="40"/>
        <v>0.73782</v>
      </c>
    </row>
    <row r="109" spans="1:45" ht="15">
      <c r="A109" s="1"/>
      <c r="B109" s="1"/>
      <c r="C109" s="1"/>
      <c r="D109" s="1" t="s">
        <v>137</v>
      </c>
      <c r="E109" s="4">
        <v>-5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22">
        <f aca="true" t="shared" si="41" ref="U109:U114">ROUND(P109+Q109+R109+S109+T109,5)</f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29">
        <f aca="true" t="shared" si="42" ref="AA109:AA114">ROUND(V109+W109+X109+Y109+Z109,5)</f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76">
        <f aca="true" t="shared" si="43" ref="AM109:AM112">ROUND(E109+F109+G109+H109+I109+J109+K109+L109+M109+N109+O109+U109+AA109+AB109+AC109+AD109+AE109+AF109+AG109+AH109+AI109+AJ109+AK109+AL109,5)</f>
        <v>-5</v>
      </c>
      <c r="AN109" s="4">
        <v>49000</v>
      </c>
      <c r="AO109" s="4">
        <f aca="true" t="shared" si="44" ref="AO109:AO111">AM109/10*2</f>
        <v>-1</v>
      </c>
      <c r="AP109" s="69">
        <f aca="true" t="shared" si="45" ref="AP109:AP111">+AM109+AO109</f>
        <v>-6</v>
      </c>
      <c r="AQ109" s="4">
        <f aca="true" t="shared" si="46" ref="AQ109:AQ111">+AP109-AN109</f>
        <v>-49006</v>
      </c>
      <c r="AR109" s="4">
        <f aca="true" t="shared" si="47" ref="AR109:AR112">ROUND((AM109-AN109),5)</f>
        <v>-49005</v>
      </c>
      <c r="AS109" s="5">
        <f aca="true" t="shared" si="48" ref="AS109:AS114">ROUND(IF(AN109=0,IF(AM109=0,0,1),AM109/AN109),5)</f>
        <v>-0.0001</v>
      </c>
    </row>
    <row r="110" spans="1:45" ht="15">
      <c r="A110" s="1"/>
      <c r="B110" s="1"/>
      <c r="C110" s="1"/>
      <c r="D110" s="1" t="s">
        <v>138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22">
        <f t="shared" si="41"/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29">
        <f t="shared" si="42"/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76">
        <f t="shared" si="43"/>
        <v>0</v>
      </c>
      <c r="AN110" s="4">
        <v>0</v>
      </c>
      <c r="AO110" s="4">
        <f t="shared" si="44"/>
        <v>0</v>
      </c>
      <c r="AP110" s="69">
        <f t="shared" si="45"/>
        <v>0</v>
      </c>
      <c r="AQ110" s="4">
        <f t="shared" si="46"/>
        <v>0</v>
      </c>
      <c r="AR110" s="4">
        <f t="shared" si="47"/>
        <v>0</v>
      </c>
      <c r="AS110" s="5">
        <f t="shared" si="48"/>
        <v>0</v>
      </c>
    </row>
    <row r="111" spans="1:45" ht="15">
      <c r="A111" s="1"/>
      <c r="B111" s="1"/>
      <c r="C111" s="1"/>
      <c r="D111" s="1" t="s">
        <v>139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22">
        <f t="shared" si="41"/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29">
        <f t="shared" si="42"/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408</v>
      </c>
      <c r="AM111" s="76">
        <f t="shared" si="43"/>
        <v>408</v>
      </c>
      <c r="AN111" s="4">
        <v>52280</v>
      </c>
      <c r="AO111" s="4">
        <f t="shared" si="44"/>
        <v>81.6</v>
      </c>
      <c r="AP111" s="69">
        <f t="shared" si="45"/>
        <v>489.6</v>
      </c>
      <c r="AQ111" s="4">
        <f t="shared" si="46"/>
        <v>-51790.4</v>
      </c>
      <c r="AR111" s="4">
        <f t="shared" si="47"/>
        <v>-51872</v>
      </c>
      <c r="AS111" s="5">
        <f t="shared" si="48"/>
        <v>0.0078</v>
      </c>
    </row>
    <row r="112" spans="1:45" ht="15.75" thickBot="1">
      <c r="A112" s="1"/>
      <c r="B112" s="1"/>
      <c r="C112" s="1"/>
      <c r="D112" s="1" t="s">
        <v>140</v>
      </c>
      <c r="E112" s="8">
        <v>-39417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24">
        <f t="shared" si="41"/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31">
        <f t="shared" si="42"/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39417</v>
      </c>
      <c r="AK112" s="8">
        <v>0</v>
      </c>
      <c r="AL112" s="8">
        <v>0</v>
      </c>
      <c r="AM112" s="78">
        <f t="shared" si="43"/>
        <v>0</v>
      </c>
      <c r="AN112" s="8">
        <v>0</v>
      </c>
      <c r="AO112" s="8">
        <v>0</v>
      </c>
      <c r="AP112" s="72">
        <v>0</v>
      </c>
      <c r="AQ112" s="8"/>
      <c r="AR112" s="8">
        <f t="shared" si="47"/>
        <v>0</v>
      </c>
      <c r="AS112" s="9">
        <f t="shared" si="48"/>
        <v>0</v>
      </c>
    </row>
    <row r="113" spans="1:45" ht="15.75" thickBot="1">
      <c r="A113" s="1"/>
      <c r="B113" s="1"/>
      <c r="C113" s="1" t="s">
        <v>141</v>
      </c>
      <c r="D113" s="1"/>
      <c r="E113" s="12">
        <f aca="true" t="shared" si="49" ref="E113:T113">ROUND(SUM(E44:E112),5)</f>
        <v>698366</v>
      </c>
      <c r="F113" s="12">
        <f t="shared" si="49"/>
        <v>14671</v>
      </c>
      <c r="G113" s="12">
        <f t="shared" si="49"/>
        <v>6186</v>
      </c>
      <c r="H113" s="12">
        <f t="shared" si="49"/>
        <v>0</v>
      </c>
      <c r="I113" s="12">
        <f t="shared" si="49"/>
        <v>0</v>
      </c>
      <c r="J113" s="12">
        <f t="shared" si="49"/>
        <v>5908</v>
      </c>
      <c r="K113" s="12">
        <f t="shared" si="49"/>
        <v>2129</v>
      </c>
      <c r="L113" s="12">
        <f t="shared" si="49"/>
        <v>-83</v>
      </c>
      <c r="M113" s="12">
        <f t="shared" si="49"/>
        <v>7557</v>
      </c>
      <c r="N113" s="12">
        <f t="shared" si="49"/>
        <v>1396</v>
      </c>
      <c r="O113" s="12">
        <f t="shared" si="49"/>
        <v>213612</v>
      </c>
      <c r="P113" s="12">
        <f t="shared" si="49"/>
        <v>26493</v>
      </c>
      <c r="Q113" s="12">
        <f t="shared" si="49"/>
        <v>4578</v>
      </c>
      <c r="R113" s="12">
        <f t="shared" si="49"/>
        <v>3600</v>
      </c>
      <c r="S113" s="12">
        <f t="shared" si="49"/>
        <v>6650</v>
      </c>
      <c r="T113" s="12">
        <f t="shared" si="49"/>
        <v>93561</v>
      </c>
      <c r="U113" s="26">
        <f t="shared" si="41"/>
        <v>134882</v>
      </c>
      <c r="V113" s="12">
        <f>ROUND(SUM(V44:V112),5)</f>
        <v>16536</v>
      </c>
      <c r="W113" s="12">
        <f>ROUND(SUM(W44:W112),5)</f>
        <v>0</v>
      </c>
      <c r="X113" s="12">
        <f>ROUND(SUM(X44:X112),5)</f>
        <v>2700</v>
      </c>
      <c r="Y113" s="12">
        <f>ROUND(SUM(Y44:Y112),5)</f>
        <v>15633</v>
      </c>
      <c r="Z113" s="12">
        <f>ROUND(SUM(Z44:Z112),5)</f>
        <v>20944</v>
      </c>
      <c r="AA113" s="33">
        <f t="shared" si="42"/>
        <v>55813</v>
      </c>
      <c r="AB113" s="12">
        <f aca="true" t="shared" si="50" ref="AB113:AL113">ROUND(SUM(AB44:AB112),5)</f>
        <v>2254</v>
      </c>
      <c r="AC113" s="12">
        <f t="shared" si="50"/>
        <v>103</v>
      </c>
      <c r="AD113" s="12">
        <f t="shared" si="50"/>
        <v>6358</v>
      </c>
      <c r="AE113" s="12">
        <f t="shared" si="50"/>
        <v>0</v>
      </c>
      <c r="AF113" s="12">
        <f t="shared" si="50"/>
        <v>0</v>
      </c>
      <c r="AG113" s="12">
        <f t="shared" si="50"/>
        <v>8000</v>
      </c>
      <c r="AH113" s="12">
        <f t="shared" si="50"/>
        <v>41034</v>
      </c>
      <c r="AI113" s="12">
        <f t="shared" si="50"/>
        <v>9299</v>
      </c>
      <c r="AJ113" s="12">
        <f t="shared" si="50"/>
        <v>445967</v>
      </c>
      <c r="AK113" s="12">
        <f t="shared" si="50"/>
        <v>12133</v>
      </c>
      <c r="AL113" s="12">
        <f t="shared" si="50"/>
        <v>160357</v>
      </c>
      <c r="AM113" s="80">
        <f aca="true" t="shared" si="51" ref="AM113:AR113">SUM(AM45:AM112)</f>
        <v>1825942</v>
      </c>
      <c r="AN113" s="12">
        <f t="shared" si="51"/>
        <v>2767257</v>
      </c>
      <c r="AO113" s="63">
        <f t="shared" si="51"/>
        <v>559606.2000000001</v>
      </c>
      <c r="AP113" s="73">
        <f t="shared" si="51"/>
        <v>2385548.2</v>
      </c>
      <c r="AQ113" s="12">
        <f t="shared" si="51"/>
        <v>-381708.8</v>
      </c>
      <c r="AR113" s="12">
        <f t="shared" si="51"/>
        <v>-941315</v>
      </c>
      <c r="AS113" s="13">
        <f t="shared" si="48"/>
        <v>0.65984</v>
      </c>
    </row>
    <row r="114" spans="2:46" s="16" customFormat="1" ht="30" customHeight="1" thickBot="1">
      <c r="B114" s="1"/>
      <c r="C114" s="1" t="s">
        <v>142</v>
      </c>
      <c r="D114" s="1"/>
      <c r="E114" s="14">
        <f aca="true" t="shared" si="52" ref="E114:T114">ROUND(E43-E113,5)</f>
        <v>-635049</v>
      </c>
      <c r="F114" s="14">
        <f t="shared" si="52"/>
        <v>-13946</v>
      </c>
      <c r="G114" s="14">
        <f t="shared" si="52"/>
        <v>-6186</v>
      </c>
      <c r="H114" s="14">
        <f t="shared" si="52"/>
        <v>0</v>
      </c>
      <c r="I114" s="14">
        <f t="shared" si="52"/>
        <v>2527</v>
      </c>
      <c r="J114" s="14">
        <f t="shared" si="52"/>
        <v>8057</v>
      </c>
      <c r="K114" s="14">
        <f t="shared" si="52"/>
        <v>971</v>
      </c>
      <c r="L114" s="14">
        <f t="shared" si="52"/>
        <v>153</v>
      </c>
      <c r="M114" s="14">
        <f t="shared" si="52"/>
        <v>-7557</v>
      </c>
      <c r="N114" s="14">
        <f t="shared" si="52"/>
        <v>-1396</v>
      </c>
      <c r="O114" s="14">
        <f t="shared" si="52"/>
        <v>1571921</v>
      </c>
      <c r="P114" s="14">
        <f t="shared" si="52"/>
        <v>-4528</v>
      </c>
      <c r="Q114" s="14">
        <f t="shared" si="52"/>
        <v>97752</v>
      </c>
      <c r="R114" s="14">
        <f t="shared" si="52"/>
        <v>-3600</v>
      </c>
      <c r="S114" s="14">
        <f t="shared" si="52"/>
        <v>22700</v>
      </c>
      <c r="T114" s="14">
        <f t="shared" si="52"/>
        <v>-30651</v>
      </c>
      <c r="U114" s="27">
        <f t="shared" si="41"/>
        <v>81673</v>
      </c>
      <c r="V114" s="14">
        <f>ROUND(V43-V113,5)</f>
        <v>5549</v>
      </c>
      <c r="W114" s="14">
        <f>ROUND(W43-W113,5)</f>
        <v>0</v>
      </c>
      <c r="X114" s="14">
        <f>ROUND(X43-X113,5)</f>
        <v>48325</v>
      </c>
      <c r="Y114" s="14">
        <f>ROUND(Y43-Y113,5)</f>
        <v>734</v>
      </c>
      <c r="Z114" s="14">
        <f>ROUND(Z43-Z113,5)</f>
        <v>2391</v>
      </c>
      <c r="AA114" s="34">
        <f t="shared" si="42"/>
        <v>56999</v>
      </c>
      <c r="AB114" s="14">
        <f aca="true" t="shared" si="53" ref="AB114:AL114">ROUND(AB43-AB113,5)</f>
        <v>-2254</v>
      </c>
      <c r="AC114" s="14">
        <f t="shared" si="53"/>
        <v>-103</v>
      </c>
      <c r="AD114" s="14">
        <f t="shared" si="53"/>
        <v>-7501</v>
      </c>
      <c r="AE114" s="14">
        <f t="shared" si="53"/>
        <v>9220</v>
      </c>
      <c r="AF114" s="14">
        <f t="shared" si="53"/>
        <v>58</v>
      </c>
      <c r="AG114" s="14">
        <f t="shared" si="53"/>
        <v>-8000</v>
      </c>
      <c r="AH114" s="14">
        <f t="shared" si="53"/>
        <v>-41034</v>
      </c>
      <c r="AI114" s="14">
        <f t="shared" si="53"/>
        <v>-9299</v>
      </c>
      <c r="AJ114" s="14">
        <f t="shared" si="53"/>
        <v>3671</v>
      </c>
      <c r="AK114" s="14">
        <f t="shared" si="53"/>
        <v>-12133</v>
      </c>
      <c r="AL114" s="14">
        <f t="shared" si="53"/>
        <v>81472</v>
      </c>
      <c r="AM114" s="81">
        <f aca="true" t="shared" si="54" ref="AM114:AR114">+AM43-AM113</f>
        <v>1072264</v>
      </c>
      <c r="AN114" s="14">
        <f t="shared" si="54"/>
        <v>0</v>
      </c>
      <c r="AO114" s="14">
        <f t="shared" si="54"/>
        <v>-328932.80000000005</v>
      </c>
      <c r="AP114" s="74">
        <f t="shared" si="54"/>
        <v>743331.1999999997</v>
      </c>
      <c r="AQ114" s="14">
        <f t="shared" si="54"/>
        <v>381708.8</v>
      </c>
      <c r="AR114" s="14">
        <f t="shared" si="54"/>
        <v>1072264</v>
      </c>
      <c r="AS114" s="15">
        <f t="shared" si="48"/>
        <v>1</v>
      </c>
      <c r="AT114"/>
    </row>
    <row r="115" ht="15.75" thickTop="1">
      <c r="AT115" s="16"/>
    </row>
  </sheetData>
  <printOptions horizontalCentered="1"/>
  <pageMargins left="0.27" right="0.27" top="0.35" bottom="0.5" header="0.23" footer="0.3"/>
  <pageSetup horizontalDpi="600" verticalDpi="600" orientation="landscape" scale="70" r:id="rId2"/>
  <headerFooter>
    <oddHeader>&amp;L&amp;"Arial,Bold"&amp;8 8:36 PM
 05/20/14
</oddHeader>
    <oddFooter>&amp;L&amp;"Arial,Bold"&amp;8 Boardmeeting Packet&amp;R&amp;"Arial,Bold"&amp;8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21"/>
  <sheetViews>
    <sheetView workbookViewId="0" topLeftCell="A1">
      <pane xSplit="4" ySplit="4" topLeftCell="E88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8.8515625" defaultRowHeight="15"/>
  <cols>
    <col min="1" max="3" width="1.421875" style="18" customWidth="1"/>
    <col min="4" max="4" width="26.28125" style="18" customWidth="1"/>
    <col min="5" max="7" width="12.28125" style="85" bestFit="1" customWidth="1"/>
    <col min="8" max="8" width="12.28125" style="85" hidden="1" customWidth="1"/>
    <col min="9" max="9" width="8.7109375" style="85" customWidth="1"/>
    <col min="10" max="10" width="12.28125" style="85" bestFit="1" customWidth="1"/>
    <col min="11" max="11" width="9.421875" style="85" customWidth="1"/>
    <col min="12" max="13" width="12.28125" style="85" bestFit="1" customWidth="1"/>
    <col min="14" max="16" width="12.28125" style="85" customWidth="1"/>
    <col min="17" max="21" width="12.28125" style="85" hidden="1" customWidth="1"/>
    <col min="22" max="22" width="12.28125" style="85" customWidth="1"/>
    <col min="23" max="26" width="12.28125" style="85" hidden="1" customWidth="1"/>
    <col min="27" max="27" width="12.28125" style="85" customWidth="1"/>
    <col min="28" max="28" width="10.421875" style="85" customWidth="1"/>
    <col min="29" max="29" width="7.7109375" style="85" customWidth="1"/>
    <col min="30" max="30" width="11.421875" style="85" customWidth="1"/>
    <col min="31" max="31" width="8.421875" style="85" customWidth="1"/>
    <col min="32" max="32" width="9.00390625" style="85" customWidth="1"/>
    <col min="33" max="33" width="10.421875" style="85" customWidth="1"/>
    <col min="34" max="35" width="12.28125" style="85" customWidth="1"/>
    <col min="36" max="39" width="11.00390625" style="85" customWidth="1"/>
    <col min="40" max="41" width="10.140625" style="85" customWidth="1"/>
    <col min="42" max="42" width="12.00390625" style="66" customWidth="1"/>
    <col min="43" max="43" width="8.421875" style="85" customWidth="1"/>
    <col min="44" max="44" width="11.421875" style="85" customWidth="1"/>
    <col min="45" max="16384" width="8.8515625" style="86" customWidth="1"/>
  </cols>
  <sheetData>
    <row r="1" ht="15.75">
      <c r="D1" s="35" t="s">
        <v>145</v>
      </c>
    </row>
    <row r="2" spans="4:20" ht="15">
      <c r="D2" s="36" t="s">
        <v>146</v>
      </c>
      <c r="Q2" s="85" t="s">
        <v>190</v>
      </c>
      <c r="R2" s="85" t="s">
        <v>190</v>
      </c>
      <c r="T2" s="85" t="s">
        <v>191</v>
      </c>
    </row>
    <row r="3" spans="1:44" ht="45.75" thickBot="1">
      <c r="A3" s="17"/>
      <c r="B3" s="17"/>
      <c r="C3" s="17"/>
      <c r="D3" s="17"/>
      <c r="E3" s="1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 t="s">
        <v>10</v>
      </c>
      <c r="R3" s="93" t="s">
        <v>11</v>
      </c>
      <c r="S3" s="93" t="s">
        <v>12</v>
      </c>
      <c r="T3" s="93" t="s">
        <v>13</v>
      </c>
      <c r="U3" s="93" t="s">
        <v>14</v>
      </c>
      <c r="V3" s="127" t="s">
        <v>143</v>
      </c>
      <c r="W3" s="93" t="s">
        <v>17</v>
      </c>
      <c r="X3" s="93" t="s">
        <v>172</v>
      </c>
      <c r="Y3" s="93" t="s">
        <v>18</v>
      </c>
      <c r="Z3" s="93" t="s">
        <v>19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4"/>
      <c r="AO3" s="94"/>
      <c r="AP3" s="94"/>
      <c r="AQ3" s="94"/>
      <c r="AR3" s="94"/>
    </row>
    <row r="4" spans="1:44" ht="47.25" thickBot="1" thickTop="1">
      <c r="A4" s="17"/>
      <c r="B4" s="17"/>
      <c r="C4" s="17"/>
      <c r="D4" s="136" t="s">
        <v>189</v>
      </c>
      <c r="E4" s="17"/>
      <c r="F4" s="125" t="s">
        <v>171</v>
      </c>
      <c r="G4" s="125" t="s">
        <v>180</v>
      </c>
      <c r="H4" s="125" t="s">
        <v>0</v>
      </c>
      <c r="I4" s="125" t="s">
        <v>1</v>
      </c>
      <c r="J4" s="125" t="s">
        <v>2</v>
      </c>
      <c r="K4" s="125" t="s">
        <v>3</v>
      </c>
      <c r="L4" s="126" t="s">
        <v>4</v>
      </c>
      <c r="M4" s="126" t="s">
        <v>5</v>
      </c>
      <c r="N4" s="126" t="s">
        <v>6</v>
      </c>
      <c r="O4" s="126" t="s">
        <v>7</v>
      </c>
      <c r="P4" s="126" t="s">
        <v>8</v>
      </c>
      <c r="Q4" s="95" t="s">
        <v>9</v>
      </c>
      <c r="R4" s="95" t="s">
        <v>9</v>
      </c>
      <c r="S4" s="95" t="s">
        <v>9</v>
      </c>
      <c r="T4" s="95" t="s">
        <v>9</v>
      </c>
      <c r="U4" s="95" t="s">
        <v>9</v>
      </c>
      <c r="V4" s="128" t="s">
        <v>15</v>
      </c>
      <c r="W4" s="95" t="s">
        <v>16</v>
      </c>
      <c r="X4" s="95" t="s">
        <v>16</v>
      </c>
      <c r="Y4" s="95" t="s">
        <v>16</v>
      </c>
      <c r="Z4" s="95" t="s">
        <v>16</v>
      </c>
      <c r="AA4" s="129" t="s">
        <v>20</v>
      </c>
      <c r="AB4" s="95" t="s">
        <v>21</v>
      </c>
      <c r="AC4" s="95" t="s">
        <v>22</v>
      </c>
      <c r="AD4" s="95" t="s">
        <v>173</v>
      </c>
      <c r="AE4" s="95" t="s">
        <v>23</v>
      </c>
      <c r="AF4" s="95" t="s">
        <v>24</v>
      </c>
      <c r="AG4" s="95" t="s">
        <v>174</v>
      </c>
      <c r="AH4" s="95" t="s">
        <v>181</v>
      </c>
      <c r="AI4" s="95" t="s">
        <v>26</v>
      </c>
      <c r="AJ4" s="95" t="s">
        <v>27</v>
      </c>
      <c r="AK4" s="95" t="s">
        <v>28</v>
      </c>
      <c r="AL4" s="95" t="s">
        <v>29</v>
      </c>
      <c r="AM4" s="95" t="s">
        <v>182</v>
      </c>
      <c r="AN4" s="64" t="s">
        <v>183</v>
      </c>
      <c r="AO4" s="64" t="s">
        <v>184</v>
      </c>
      <c r="AP4" s="118" t="s">
        <v>185</v>
      </c>
      <c r="AQ4" s="96" t="s">
        <v>186</v>
      </c>
      <c r="AR4" s="110" t="s">
        <v>168</v>
      </c>
    </row>
    <row r="5" spans="1:44" ht="15.75" thickTop="1">
      <c r="A5" s="1"/>
      <c r="B5" s="1"/>
      <c r="C5" s="1" t="s">
        <v>34</v>
      </c>
      <c r="D5" s="1"/>
      <c r="E5" s="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65"/>
      <c r="W5" s="38"/>
      <c r="X5" s="38"/>
      <c r="Y5" s="38"/>
      <c r="Z5" s="38"/>
      <c r="AA5" s="130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22"/>
      <c r="AO5" s="22"/>
      <c r="AP5" s="119"/>
      <c r="AQ5" s="97"/>
      <c r="AR5" s="111"/>
    </row>
    <row r="6" spans="1:44" ht="15">
      <c r="A6" s="1"/>
      <c r="B6" s="1"/>
      <c r="C6" s="1"/>
      <c r="D6" s="98" t="s">
        <v>35</v>
      </c>
      <c r="E6" s="1"/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16878.34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65">
        <f>ROUND(SUM(Q6:U6),5)</f>
        <v>0</v>
      </c>
      <c r="W6" s="38">
        <v>0</v>
      </c>
      <c r="X6" s="38">
        <v>0</v>
      </c>
      <c r="Y6" s="38">
        <v>0</v>
      </c>
      <c r="Z6" s="38">
        <v>0</v>
      </c>
      <c r="AA6" s="130">
        <f>ROUND(SUM(W6:Z6),5)</f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65">
        <f>ROUND(SUM(F6:P6)+V6+SUM(AA6:AM6),5)</f>
        <v>16878.34</v>
      </c>
      <c r="AO6" s="65">
        <f aca="true" t="shared" si="0" ref="AO6:AO12">AN6/11</f>
        <v>1534.3945454545456</v>
      </c>
      <c r="AP6" s="119">
        <f>+AN6+AO6</f>
        <v>18412.734545454547</v>
      </c>
      <c r="AQ6" s="97">
        <v>45456</v>
      </c>
      <c r="AR6" s="111">
        <f>+AP6-AQ6</f>
        <v>-27043.265454545453</v>
      </c>
    </row>
    <row r="7" spans="1:44" ht="15">
      <c r="A7" s="1"/>
      <c r="B7" s="1"/>
      <c r="C7" s="1"/>
      <c r="D7" s="98" t="s">
        <v>36</v>
      </c>
      <c r="E7" s="1"/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465.5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65">
        <f>ROUND(SUM(Q7:U7),5)</f>
        <v>0</v>
      </c>
      <c r="W7" s="38">
        <v>0</v>
      </c>
      <c r="X7" s="38">
        <v>0</v>
      </c>
      <c r="Y7" s="38">
        <v>0</v>
      </c>
      <c r="Z7" s="38">
        <v>0</v>
      </c>
      <c r="AA7" s="130">
        <f>ROUND(SUM(W7:Z7),5)</f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65">
        <f aca="true" t="shared" si="1" ref="AN7:AN35">ROUND(SUM(F7:P7)+V7+SUM(AA7:AM7),5)</f>
        <v>465.5</v>
      </c>
      <c r="AO7" s="65">
        <f t="shared" si="0"/>
        <v>42.31818181818182</v>
      </c>
      <c r="AP7" s="119">
        <f aca="true" t="shared" si="2" ref="AP7:AP36">+AN7+AO7</f>
        <v>507.8181818181818</v>
      </c>
      <c r="AQ7" s="97">
        <v>3000</v>
      </c>
      <c r="AR7" s="111">
        <f aca="true" t="shared" si="3" ref="AR7:AR36">+AP7-AQ7</f>
        <v>-2492.181818181818</v>
      </c>
    </row>
    <row r="8" spans="1:44" ht="15">
      <c r="A8" s="1"/>
      <c r="B8" s="1"/>
      <c r="C8" s="1"/>
      <c r="D8" s="98" t="s">
        <v>37</v>
      </c>
      <c r="E8" s="1"/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580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65">
        <f>ROUND(SUM(Q8:U8),5)</f>
        <v>0</v>
      </c>
      <c r="W8" s="38">
        <v>0</v>
      </c>
      <c r="X8" s="38">
        <v>0</v>
      </c>
      <c r="Y8" s="38">
        <v>0</v>
      </c>
      <c r="Z8" s="38">
        <v>0</v>
      </c>
      <c r="AA8" s="130">
        <f>ROUND(SUM(W8:Z8),5)</f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65">
        <f t="shared" si="1"/>
        <v>580</v>
      </c>
      <c r="AO8" s="65">
        <f t="shared" si="0"/>
        <v>52.72727272727273</v>
      </c>
      <c r="AP8" s="119">
        <f t="shared" si="2"/>
        <v>632.7272727272727</v>
      </c>
      <c r="AQ8" s="97">
        <v>6000</v>
      </c>
      <c r="AR8" s="111">
        <f t="shared" si="3"/>
        <v>-5367.272727272727</v>
      </c>
    </row>
    <row r="9" spans="1:44" ht="15">
      <c r="A9" s="1"/>
      <c r="B9" s="1"/>
      <c r="C9" s="1"/>
      <c r="D9" s="98"/>
      <c r="E9" s="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65"/>
      <c r="W9" s="38"/>
      <c r="X9" s="38"/>
      <c r="Y9" s="38"/>
      <c r="Z9" s="38"/>
      <c r="AA9" s="130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65">
        <f t="shared" si="1"/>
        <v>0</v>
      </c>
      <c r="AO9" s="65">
        <f t="shared" si="0"/>
        <v>0</v>
      </c>
      <c r="AP9" s="119">
        <f t="shared" si="2"/>
        <v>0</v>
      </c>
      <c r="AQ9" s="97">
        <v>2400</v>
      </c>
      <c r="AR9" s="111">
        <f t="shared" si="3"/>
        <v>-2400</v>
      </c>
    </row>
    <row r="10" spans="1:44" ht="15">
      <c r="A10" s="1"/>
      <c r="B10" s="1"/>
      <c r="C10" s="1"/>
      <c r="D10" s="98" t="s">
        <v>39</v>
      </c>
      <c r="E10" s="1"/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500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65">
        <f>ROUND(SUM(Q10:U10),5)</f>
        <v>0</v>
      </c>
      <c r="W10" s="38">
        <v>0</v>
      </c>
      <c r="X10" s="38">
        <v>0</v>
      </c>
      <c r="Y10" s="38">
        <v>0</v>
      </c>
      <c r="Z10" s="38">
        <v>0</v>
      </c>
      <c r="AA10" s="130">
        <f>ROUND(SUM(W10:Z10),5)</f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65">
        <f t="shared" si="1"/>
        <v>500</v>
      </c>
      <c r="AO10" s="65">
        <f t="shared" si="0"/>
        <v>45.45454545454545</v>
      </c>
      <c r="AP10" s="119">
        <f t="shared" si="2"/>
        <v>545.4545454545455</v>
      </c>
      <c r="AQ10" s="97">
        <v>3600</v>
      </c>
      <c r="AR10" s="111">
        <f t="shared" si="3"/>
        <v>-3054.5454545454545</v>
      </c>
    </row>
    <row r="11" spans="1:44" ht="15">
      <c r="A11" s="1"/>
      <c r="B11" s="1"/>
      <c r="C11" s="1"/>
      <c r="D11" s="98" t="s">
        <v>40</v>
      </c>
      <c r="E11" s="1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4394.82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65">
        <f>ROUND(SUM(Q11:U11),5)</f>
        <v>0</v>
      </c>
      <c r="W11" s="38">
        <v>0</v>
      </c>
      <c r="X11" s="38">
        <v>0</v>
      </c>
      <c r="Y11" s="38">
        <v>0</v>
      </c>
      <c r="Z11" s="38">
        <v>0</v>
      </c>
      <c r="AA11" s="130">
        <f>ROUND(SUM(W11:Z11),5)</f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65">
        <f t="shared" si="1"/>
        <v>4394.82</v>
      </c>
      <c r="AO11" s="65">
        <f t="shared" si="0"/>
        <v>399.5290909090909</v>
      </c>
      <c r="AP11" s="119">
        <f t="shared" si="2"/>
        <v>4794.349090909091</v>
      </c>
      <c r="AQ11" s="97">
        <v>14400</v>
      </c>
      <c r="AR11" s="111">
        <f t="shared" si="3"/>
        <v>-9605.65090909091</v>
      </c>
    </row>
    <row r="12" spans="1:44" ht="15">
      <c r="A12" s="1"/>
      <c r="B12" s="1"/>
      <c r="C12" s="1"/>
      <c r="D12" s="98"/>
      <c r="E12" s="1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65"/>
      <c r="W12" s="38"/>
      <c r="X12" s="38"/>
      <c r="Y12" s="38"/>
      <c r="Z12" s="38"/>
      <c r="AA12" s="130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65">
        <f t="shared" si="1"/>
        <v>0</v>
      </c>
      <c r="AO12" s="65">
        <f t="shared" si="0"/>
        <v>0</v>
      </c>
      <c r="AP12" s="119">
        <f t="shared" si="2"/>
        <v>0</v>
      </c>
      <c r="AQ12" s="97">
        <v>1848</v>
      </c>
      <c r="AR12" s="111">
        <f t="shared" si="3"/>
        <v>-1848</v>
      </c>
    </row>
    <row r="13" spans="1:44" ht="15">
      <c r="A13" s="1"/>
      <c r="B13" s="1"/>
      <c r="C13" s="1"/>
      <c r="D13" s="98" t="s">
        <v>42</v>
      </c>
      <c r="E13" s="1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1666406.92</v>
      </c>
      <c r="Q13" s="38">
        <v>21965</v>
      </c>
      <c r="R13" s="38">
        <v>102450</v>
      </c>
      <c r="S13" s="38">
        <v>0</v>
      </c>
      <c r="T13" s="38">
        <v>29350</v>
      </c>
      <c r="U13" s="38">
        <v>210</v>
      </c>
      <c r="V13" s="65">
        <f aca="true" t="shared" si="4" ref="V13:V30">ROUND(SUM(Q13:U13),5)</f>
        <v>153975</v>
      </c>
      <c r="W13" s="38">
        <v>21360</v>
      </c>
      <c r="X13" s="38">
        <v>58580</v>
      </c>
      <c r="Y13" s="38">
        <v>15925</v>
      </c>
      <c r="Z13" s="38">
        <v>22310</v>
      </c>
      <c r="AA13" s="130">
        <f aca="true" t="shared" si="5" ref="AA13:AA30">ROUND(SUM(W13:Z13),5)</f>
        <v>118175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65">
        <f t="shared" si="1"/>
        <v>1938556.92</v>
      </c>
      <c r="AO13" s="65">
        <v>0</v>
      </c>
      <c r="AP13" s="119">
        <f t="shared" si="2"/>
        <v>1938556.92</v>
      </c>
      <c r="AQ13" s="97">
        <v>1408375</v>
      </c>
      <c r="AR13" s="111">
        <f t="shared" si="3"/>
        <v>530181.9199999999</v>
      </c>
    </row>
    <row r="14" spans="1:44" ht="15">
      <c r="A14" s="1"/>
      <c r="B14" s="1"/>
      <c r="C14" s="1"/>
      <c r="D14" s="98" t="s">
        <v>43</v>
      </c>
      <c r="E14" s="1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47850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65">
        <f t="shared" si="4"/>
        <v>0</v>
      </c>
      <c r="W14" s="38">
        <v>725</v>
      </c>
      <c r="X14" s="38">
        <v>2405</v>
      </c>
      <c r="Y14" s="38">
        <v>200</v>
      </c>
      <c r="Z14" s="38">
        <v>1025</v>
      </c>
      <c r="AA14" s="130">
        <f t="shared" si="5"/>
        <v>4355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65">
        <f t="shared" si="1"/>
        <v>52205</v>
      </c>
      <c r="AO14" s="65">
        <v>0</v>
      </c>
      <c r="AP14" s="119">
        <f t="shared" si="2"/>
        <v>52205</v>
      </c>
      <c r="AQ14" s="97">
        <v>57750</v>
      </c>
      <c r="AR14" s="111">
        <f t="shared" si="3"/>
        <v>-5545</v>
      </c>
    </row>
    <row r="15" spans="1:44" ht="15">
      <c r="A15" s="1"/>
      <c r="B15" s="1"/>
      <c r="C15" s="1"/>
      <c r="D15" s="98" t="s">
        <v>44</v>
      </c>
      <c r="E15" s="1"/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400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65">
        <f t="shared" si="4"/>
        <v>0</v>
      </c>
      <c r="W15" s="38">
        <v>0</v>
      </c>
      <c r="X15" s="38">
        <v>0</v>
      </c>
      <c r="Y15" s="38">
        <v>0</v>
      </c>
      <c r="Z15" s="38">
        <v>0</v>
      </c>
      <c r="AA15" s="130">
        <f t="shared" si="5"/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65">
        <f t="shared" si="1"/>
        <v>400</v>
      </c>
      <c r="AO15" s="65">
        <v>0</v>
      </c>
      <c r="AP15" s="119">
        <f t="shared" si="2"/>
        <v>400</v>
      </c>
      <c r="AQ15" s="97">
        <v>4400</v>
      </c>
      <c r="AR15" s="111">
        <f t="shared" si="3"/>
        <v>-4000</v>
      </c>
    </row>
    <row r="16" spans="1:44" ht="15">
      <c r="A16" s="1"/>
      <c r="B16" s="1"/>
      <c r="C16" s="1"/>
      <c r="D16" s="98" t="s">
        <v>45</v>
      </c>
      <c r="E16" s="1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1055</v>
      </c>
      <c r="Q16" s="38">
        <v>0</v>
      </c>
      <c r="R16" s="38">
        <v>-120</v>
      </c>
      <c r="S16" s="38">
        <v>0</v>
      </c>
      <c r="T16" s="38">
        <v>0</v>
      </c>
      <c r="U16" s="38">
        <v>0</v>
      </c>
      <c r="V16" s="65">
        <f t="shared" si="4"/>
        <v>-120</v>
      </c>
      <c r="W16" s="38">
        <v>0</v>
      </c>
      <c r="X16" s="38">
        <v>0</v>
      </c>
      <c r="Y16" s="38">
        <v>0</v>
      </c>
      <c r="Z16" s="38">
        <v>0</v>
      </c>
      <c r="AA16" s="130">
        <f t="shared" si="5"/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65">
        <f t="shared" si="1"/>
        <v>935</v>
      </c>
      <c r="AO16" s="65">
        <v>0</v>
      </c>
      <c r="AP16" s="119">
        <f t="shared" si="2"/>
        <v>935</v>
      </c>
      <c r="AQ16" s="97">
        <v>0</v>
      </c>
      <c r="AR16" s="111">
        <f t="shared" si="3"/>
        <v>935</v>
      </c>
    </row>
    <row r="17" spans="1:44" ht="15">
      <c r="A17" s="1"/>
      <c r="B17" s="1"/>
      <c r="C17" s="1"/>
      <c r="D17" s="98" t="s">
        <v>46</v>
      </c>
      <c r="E17" s="1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16650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65">
        <f t="shared" si="4"/>
        <v>0</v>
      </c>
      <c r="W17" s="38">
        <v>0</v>
      </c>
      <c r="X17" s="38">
        <v>0</v>
      </c>
      <c r="Y17" s="38">
        <v>0</v>
      </c>
      <c r="Z17" s="38">
        <v>0</v>
      </c>
      <c r="AA17" s="130">
        <f t="shared" si="5"/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65">
        <f t="shared" si="1"/>
        <v>16650</v>
      </c>
      <c r="AO17" s="65">
        <v>0</v>
      </c>
      <c r="AP17" s="119">
        <f t="shared" si="2"/>
        <v>16650</v>
      </c>
      <c r="AQ17" s="97">
        <v>16000</v>
      </c>
      <c r="AR17" s="111">
        <f t="shared" si="3"/>
        <v>650</v>
      </c>
    </row>
    <row r="18" spans="1:44" ht="15">
      <c r="A18" s="1"/>
      <c r="B18" s="1"/>
      <c r="C18" s="1"/>
      <c r="D18" s="98" t="s">
        <v>47</v>
      </c>
      <c r="E18" s="1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65">
        <f t="shared" si="4"/>
        <v>0</v>
      </c>
      <c r="W18" s="38">
        <v>0</v>
      </c>
      <c r="X18" s="38">
        <v>0</v>
      </c>
      <c r="Y18" s="38">
        <v>0</v>
      </c>
      <c r="Z18" s="38">
        <v>0</v>
      </c>
      <c r="AA18" s="130">
        <f t="shared" si="5"/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65">
        <f t="shared" si="1"/>
        <v>0</v>
      </c>
      <c r="AO18" s="65">
        <f>AN18/11</f>
        <v>0</v>
      </c>
      <c r="AP18" s="119">
        <f t="shared" si="2"/>
        <v>0</v>
      </c>
      <c r="AQ18" s="97">
        <v>0</v>
      </c>
      <c r="AR18" s="111">
        <f t="shared" si="3"/>
        <v>0</v>
      </c>
    </row>
    <row r="19" spans="1:44" ht="15">
      <c r="A19" s="1"/>
      <c r="B19" s="1"/>
      <c r="C19" s="1"/>
      <c r="D19" s="98" t="s">
        <v>48</v>
      </c>
      <c r="E19" s="1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65">
        <f t="shared" si="4"/>
        <v>0</v>
      </c>
      <c r="W19" s="38">
        <v>0</v>
      </c>
      <c r="X19" s="38">
        <v>0</v>
      </c>
      <c r="Y19" s="38">
        <v>0</v>
      </c>
      <c r="Z19" s="38">
        <v>0</v>
      </c>
      <c r="AA19" s="130">
        <f t="shared" si="5"/>
        <v>0</v>
      </c>
      <c r="AB19" s="38">
        <v>0</v>
      </c>
      <c r="AC19" s="38">
        <v>0</v>
      </c>
      <c r="AD19" s="38">
        <v>4176</v>
      </c>
      <c r="AE19" s="38">
        <f>462+79</f>
        <v>541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65">
        <f t="shared" si="1"/>
        <v>4717</v>
      </c>
      <c r="AO19" s="65">
        <f>AN19/11</f>
        <v>428.8181818181818</v>
      </c>
      <c r="AP19" s="119">
        <f t="shared" si="2"/>
        <v>5145.818181818182</v>
      </c>
      <c r="AQ19" s="97">
        <v>9000</v>
      </c>
      <c r="AR19" s="111">
        <f t="shared" si="3"/>
        <v>-3854.181818181818</v>
      </c>
    </row>
    <row r="20" spans="1:44" ht="15">
      <c r="A20" s="1"/>
      <c r="B20" s="1"/>
      <c r="C20" s="1"/>
      <c r="D20" s="98" t="s">
        <v>49</v>
      </c>
      <c r="E20" s="1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65">
        <f t="shared" si="4"/>
        <v>0</v>
      </c>
      <c r="W20" s="38">
        <v>0</v>
      </c>
      <c r="X20" s="38">
        <v>0</v>
      </c>
      <c r="Y20" s="38">
        <v>242</v>
      </c>
      <c r="Z20" s="38">
        <v>0</v>
      </c>
      <c r="AA20" s="130">
        <f t="shared" si="5"/>
        <v>242</v>
      </c>
      <c r="AB20" s="38">
        <v>0</v>
      </c>
      <c r="AC20" s="38">
        <v>0</v>
      </c>
      <c r="AD20" s="38">
        <v>0</v>
      </c>
      <c r="AE20" s="38">
        <v>10538.12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65">
        <f t="shared" si="1"/>
        <v>10780.12</v>
      </c>
      <c r="AO20" s="65">
        <v>250</v>
      </c>
      <c r="AP20" s="119">
        <f t="shared" si="2"/>
        <v>11030.12</v>
      </c>
      <c r="AQ20" s="97">
        <v>8004</v>
      </c>
      <c r="AR20" s="111">
        <f t="shared" si="3"/>
        <v>3026.120000000001</v>
      </c>
    </row>
    <row r="21" spans="1:44" ht="15">
      <c r="A21" s="1"/>
      <c r="B21" s="1"/>
      <c r="C21" s="1"/>
      <c r="D21" s="98" t="s">
        <v>50</v>
      </c>
      <c r="E21" s="1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26200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65">
        <f t="shared" si="4"/>
        <v>0</v>
      </c>
      <c r="W21" s="38">
        <v>0</v>
      </c>
      <c r="X21" s="38">
        <v>0</v>
      </c>
      <c r="Y21" s="38">
        <v>0</v>
      </c>
      <c r="Z21" s="38">
        <v>0</v>
      </c>
      <c r="AA21" s="130">
        <f t="shared" si="5"/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65">
        <f t="shared" si="1"/>
        <v>26200</v>
      </c>
      <c r="AO21" s="65">
        <f aca="true" t="shared" si="6" ref="AO21:AO36">AN21/11</f>
        <v>2381.818181818182</v>
      </c>
      <c r="AP21" s="119">
        <f t="shared" si="2"/>
        <v>28581.818181818184</v>
      </c>
      <c r="AQ21" s="97">
        <v>65000</v>
      </c>
      <c r="AR21" s="111">
        <f t="shared" si="3"/>
        <v>-36418.181818181816</v>
      </c>
    </row>
    <row r="22" spans="1:44" ht="15">
      <c r="A22" s="1"/>
      <c r="B22" s="1"/>
      <c r="C22" s="1"/>
      <c r="D22" s="98" t="s">
        <v>51</v>
      </c>
      <c r="E22" s="1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273.15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65">
        <f t="shared" si="4"/>
        <v>0</v>
      </c>
      <c r="W22" s="38">
        <v>0</v>
      </c>
      <c r="X22" s="38">
        <v>0</v>
      </c>
      <c r="Y22" s="38">
        <v>0</v>
      </c>
      <c r="Z22" s="38">
        <v>0</v>
      </c>
      <c r="AA22" s="130">
        <f t="shared" si="5"/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65">
        <f t="shared" si="1"/>
        <v>273.15</v>
      </c>
      <c r="AO22" s="65">
        <f t="shared" si="6"/>
        <v>24.83181818181818</v>
      </c>
      <c r="AP22" s="119">
        <f t="shared" si="2"/>
        <v>297.98181818181814</v>
      </c>
      <c r="AQ22" s="97">
        <v>840</v>
      </c>
      <c r="AR22" s="111">
        <f t="shared" si="3"/>
        <v>-542.0181818181818</v>
      </c>
    </row>
    <row r="23" spans="1:44" ht="15">
      <c r="A23" s="1"/>
      <c r="B23" s="1"/>
      <c r="C23" s="1"/>
      <c r="D23" s="98" t="s">
        <v>52</v>
      </c>
      <c r="E23" s="1"/>
      <c r="F23" s="38">
        <v>0</v>
      </c>
      <c r="G23" s="38">
        <v>0</v>
      </c>
      <c r="H23" s="38">
        <v>0</v>
      </c>
      <c r="I23" s="38">
        <v>0</v>
      </c>
      <c r="J23" s="38">
        <v>2138.8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825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65">
        <f t="shared" si="4"/>
        <v>0</v>
      </c>
      <c r="W23" s="38">
        <v>0</v>
      </c>
      <c r="X23" s="38">
        <v>0</v>
      </c>
      <c r="Y23" s="38">
        <v>0</v>
      </c>
      <c r="Z23" s="38">
        <v>0</v>
      </c>
      <c r="AA23" s="130">
        <f t="shared" si="5"/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65">
        <f t="shared" si="1"/>
        <v>2963.8</v>
      </c>
      <c r="AO23" s="65">
        <f t="shared" si="6"/>
        <v>269.43636363636364</v>
      </c>
      <c r="AP23" s="119">
        <f t="shared" si="2"/>
        <v>3233.236363636364</v>
      </c>
      <c r="AQ23" s="97">
        <v>4500</v>
      </c>
      <c r="AR23" s="111">
        <f t="shared" si="3"/>
        <v>-1266.7636363636361</v>
      </c>
    </row>
    <row r="24" spans="1:44" ht="15">
      <c r="A24" s="1"/>
      <c r="B24" s="1"/>
      <c r="C24" s="1"/>
      <c r="D24" s="98" t="s">
        <v>53</v>
      </c>
      <c r="E24" s="1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65">
        <f t="shared" si="4"/>
        <v>0</v>
      </c>
      <c r="W24" s="38">
        <v>0</v>
      </c>
      <c r="X24" s="38">
        <v>0</v>
      </c>
      <c r="Y24" s="38">
        <v>0</v>
      </c>
      <c r="Z24" s="38">
        <v>0</v>
      </c>
      <c r="AA24" s="130">
        <f t="shared" si="5"/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485168.09</v>
      </c>
      <c r="AK24" s="38">
        <v>0</v>
      </c>
      <c r="AL24" s="38">
        <v>0</v>
      </c>
      <c r="AM24" s="38">
        <v>0</v>
      </c>
      <c r="AN24" s="65">
        <f t="shared" si="1"/>
        <v>485168.09</v>
      </c>
      <c r="AO24" s="65">
        <f t="shared" si="6"/>
        <v>44106.19</v>
      </c>
      <c r="AP24" s="119">
        <f t="shared" si="2"/>
        <v>529274.28</v>
      </c>
      <c r="AQ24" s="97">
        <v>582774</v>
      </c>
      <c r="AR24" s="111">
        <f t="shared" si="3"/>
        <v>-53499.71999999997</v>
      </c>
    </row>
    <row r="25" spans="1:44" ht="15">
      <c r="A25" s="1"/>
      <c r="B25" s="1"/>
      <c r="C25" s="1"/>
      <c r="D25" s="98" t="s">
        <v>54</v>
      </c>
      <c r="E25" s="1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5256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65">
        <f t="shared" si="4"/>
        <v>0</v>
      </c>
      <c r="W25" s="38">
        <v>0</v>
      </c>
      <c r="X25" s="38">
        <v>0</v>
      </c>
      <c r="Y25" s="38">
        <v>0</v>
      </c>
      <c r="Z25" s="38">
        <v>0</v>
      </c>
      <c r="AA25" s="130">
        <f t="shared" si="5"/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65">
        <f t="shared" si="1"/>
        <v>5256</v>
      </c>
      <c r="AO25" s="65">
        <f t="shared" si="6"/>
        <v>477.8181818181818</v>
      </c>
      <c r="AP25" s="119">
        <f t="shared" si="2"/>
        <v>5733.818181818182</v>
      </c>
      <c r="AQ25" s="97">
        <v>0</v>
      </c>
      <c r="AR25" s="111">
        <f t="shared" si="3"/>
        <v>5733.818181818182</v>
      </c>
    </row>
    <row r="26" spans="1:44" ht="15">
      <c r="A26" s="1"/>
      <c r="B26" s="1"/>
      <c r="C26" s="1"/>
      <c r="D26" s="98" t="s">
        <v>55</v>
      </c>
      <c r="E26" s="1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2950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65">
        <f t="shared" si="4"/>
        <v>0</v>
      </c>
      <c r="W26" s="38">
        <v>0</v>
      </c>
      <c r="X26" s="38">
        <v>0</v>
      </c>
      <c r="Y26" s="38">
        <v>0</v>
      </c>
      <c r="Z26" s="38">
        <v>0</v>
      </c>
      <c r="AA26" s="130">
        <f t="shared" si="5"/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65">
        <f t="shared" si="1"/>
        <v>2950</v>
      </c>
      <c r="AO26" s="65">
        <f t="shared" si="6"/>
        <v>268.1818181818182</v>
      </c>
      <c r="AP26" s="119">
        <f t="shared" si="2"/>
        <v>3218.181818181818</v>
      </c>
      <c r="AQ26" s="97">
        <v>0</v>
      </c>
      <c r="AR26" s="111">
        <f t="shared" si="3"/>
        <v>3218.181818181818</v>
      </c>
    </row>
    <row r="27" spans="1:44" ht="15">
      <c r="A27" s="1"/>
      <c r="B27" s="1"/>
      <c r="C27" s="1"/>
      <c r="D27" s="98" t="s">
        <v>56</v>
      </c>
      <c r="E27" s="1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32980.89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65">
        <f t="shared" si="4"/>
        <v>0</v>
      </c>
      <c r="W27" s="38">
        <v>0</v>
      </c>
      <c r="X27" s="38">
        <v>0</v>
      </c>
      <c r="Y27" s="38">
        <v>0</v>
      </c>
      <c r="Z27" s="38">
        <v>0</v>
      </c>
      <c r="AA27" s="130">
        <f t="shared" si="5"/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65">
        <f t="shared" si="1"/>
        <v>32980.89</v>
      </c>
      <c r="AO27" s="65">
        <f t="shared" si="6"/>
        <v>2998.2627272727273</v>
      </c>
      <c r="AP27" s="119">
        <f t="shared" si="2"/>
        <v>35979.152727272725</v>
      </c>
      <c r="AQ27" s="97">
        <v>25000</v>
      </c>
      <c r="AR27" s="111">
        <f t="shared" si="3"/>
        <v>10979.152727272725</v>
      </c>
    </row>
    <row r="28" spans="1:44" ht="15">
      <c r="A28" s="1"/>
      <c r="B28" s="1"/>
      <c r="C28" s="1"/>
      <c r="D28" s="98" t="s">
        <v>57</v>
      </c>
      <c r="E28" s="1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65">
        <f t="shared" si="4"/>
        <v>0</v>
      </c>
      <c r="W28" s="38">
        <v>0</v>
      </c>
      <c r="X28" s="38">
        <v>0</v>
      </c>
      <c r="Y28" s="38">
        <v>0</v>
      </c>
      <c r="Z28" s="38">
        <v>0</v>
      </c>
      <c r="AA28" s="130">
        <f t="shared" si="5"/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47.65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65">
        <f t="shared" si="1"/>
        <v>47.65</v>
      </c>
      <c r="AO28" s="65">
        <f t="shared" si="6"/>
        <v>4.331818181818182</v>
      </c>
      <c r="AP28" s="119">
        <f t="shared" si="2"/>
        <v>51.981818181818184</v>
      </c>
      <c r="AQ28" s="97">
        <v>300</v>
      </c>
      <c r="AR28" s="111">
        <f t="shared" si="3"/>
        <v>-248.0181818181818</v>
      </c>
    </row>
    <row r="29" spans="1:44" ht="15">
      <c r="A29" s="1"/>
      <c r="B29" s="1"/>
      <c r="C29" s="1"/>
      <c r="D29" s="98" t="s">
        <v>58</v>
      </c>
      <c r="E29" s="1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69.75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65">
        <f t="shared" si="4"/>
        <v>0</v>
      </c>
      <c r="W29" s="38">
        <v>0</v>
      </c>
      <c r="X29" s="38">
        <v>0</v>
      </c>
      <c r="Y29" s="38">
        <v>0</v>
      </c>
      <c r="Z29" s="38">
        <v>0</v>
      </c>
      <c r="AA29" s="130">
        <f t="shared" si="5"/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65">
        <f t="shared" si="1"/>
        <v>69.75</v>
      </c>
      <c r="AO29" s="65">
        <f t="shared" si="6"/>
        <v>6.340909090909091</v>
      </c>
      <c r="AP29" s="119">
        <f t="shared" si="2"/>
        <v>76.0909090909091</v>
      </c>
      <c r="AQ29" s="97">
        <v>0</v>
      </c>
      <c r="AR29" s="111">
        <f t="shared" si="3"/>
        <v>76.0909090909091</v>
      </c>
    </row>
    <row r="30" spans="1:44" ht="15">
      <c r="A30" s="1"/>
      <c r="B30" s="1"/>
      <c r="C30" s="1"/>
      <c r="D30" s="98" t="s">
        <v>59</v>
      </c>
      <c r="E30" s="1"/>
      <c r="F30" s="38">
        <f>5366.14+93.5</f>
        <v>5459.64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65">
        <f t="shared" si="4"/>
        <v>0</v>
      </c>
      <c r="W30" s="38">
        <v>0</v>
      </c>
      <c r="X30" s="38">
        <v>0</v>
      </c>
      <c r="Y30" s="38">
        <v>0</v>
      </c>
      <c r="Z30" s="38">
        <v>0</v>
      </c>
      <c r="AA30" s="130">
        <f t="shared" si="5"/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65">
        <f t="shared" si="1"/>
        <v>5459.64</v>
      </c>
      <c r="AO30" s="65">
        <f t="shared" si="6"/>
        <v>496.33090909090913</v>
      </c>
      <c r="AP30" s="119">
        <f t="shared" si="2"/>
        <v>5955.970909090909</v>
      </c>
      <c r="AQ30" s="97">
        <v>6516</v>
      </c>
      <c r="AR30" s="111">
        <f t="shared" si="3"/>
        <v>-560.0290909090909</v>
      </c>
    </row>
    <row r="31" spans="1:44" ht="15">
      <c r="A31" s="1"/>
      <c r="B31" s="1"/>
      <c r="C31" s="1"/>
      <c r="D31" s="98"/>
      <c r="E31" s="1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65"/>
      <c r="W31" s="38"/>
      <c r="X31" s="38"/>
      <c r="Y31" s="38"/>
      <c r="Z31" s="38"/>
      <c r="AA31" s="130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5">
        <f t="shared" si="1"/>
        <v>0</v>
      </c>
      <c r="AO31" s="65">
        <f t="shared" si="6"/>
        <v>0</v>
      </c>
      <c r="AP31" s="119">
        <f t="shared" si="2"/>
        <v>0</v>
      </c>
      <c r="AQ31" s="97">
        <v>0</v>
      </c>
      <c r="AR31" s="111">
        <f t="shared" si="3"/>
        <v>0</v>
      </c>
    </row>
    <row r="32" spans="1:44" ht="15">
      <c r="A32" s="1"/>
      <c r="B32" s="1"/>
      <c r="C32" s="1"/>
      <c r="D32" s="98" t="s">
        <v>61</v>
      </c>
      <c r="E32" s="1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1110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65">
        <f aca="true" t="shared" si="7" ref="V32:V37">ROUND(SUM(Q32:U32),5)</f>
        <v>0</v>
      </c>
      <c r="W32" s="38">
        <v>0</v>
      </c>
      <c r="X32" s="38">
        <v>0</v>
      </c>
      <c r="Y32" s="38">
        <v>0</v>
      </c>
      <c r="Z32" s="38">
        <v>0</v>
      </c>
      <c r="AA32" s="130">
        <f aca="true" t="shared" si="8" ref="AA32:AA37">ROUND(SUM(W32:Z32),5)</f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65">
        <f t="shared" si="1"/>
        <v>1110</v>
      </c>
      <c r="AO32" s="65">
        <f t="shared" si="6"/>
        <v>100.9090909090909</v>
      </c>
      <c r="AP32" s="119">
        <f t="shared" si="2"/>
        <v>1210.909090909091</v>
      </c>
      <c r="AQ32" s="97">
        <v>0</v>
      </c>
      <c r="AR32" s="111">
        <f t="shared" si="3"/>
        <v>1210.909090909091</v>
      </c>
    </row>
    <row r="33" spans="1:44" ht="15">
      <c r="A33" s="1"/>
      <c r="B33" s="1"/>
      <c r="C33" s="1"/>
      <c r="D33" s="98" t="s">
        <v>62</v>
      </c>
      <c r="E33" s="1"/>
      <c r="F33" s="38">
        <v>1510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544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65">
        <f t="shared" si="7"/>
        <v>0</v>
      </c>
      <c r="W33" s="38">
        <v>0</v>
      </c>
      <c r="X33" s="38">
        <v>0</v>
      </c>
      <c r="Y33" s="38">
        <v>0</v>
      </c>
      <c r="Z33" s="38">
        <v>0</v>
      </c>
      <c r="AA33" s="130">
        <f t="shared" si="8"/>
        <v>0</v>
      </c>
      <c r="AB33" s="38">
        <v>6500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65">
        <f t="shared" si="1"/>
        <v>8554</v>
      </c>
      <c r="AO33" s="65">
        <f t="shared" si="6"/>
        <v>777.6363636363636</v>
      </c>
      <c r="AP33" s="119">
        <f t="shared" si="2"/>
        <v>9331.636363636364</v>
      </c>
      <c r="AQ33" s="97">
        <v>4000</v>
      </c>
      <c r="AR33" s="111">
        <f t="shared" si="3"/>
        <v>5331.636363636364</v>
      </c>
    </row>
    <row r="34" spans="1:44" ht="15">
      <c r="A34" s="1"/>
      <c r="B34" s="1"/>
      <c r="C34" s="1"/>
      <c r="D34" s="98" t="s">
        <v>63</v>
      </c>
      <c r="E34" s="1"/>
      <c r="F34" s="38">
        <v>54000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51000</v>
      </c>
      <c r="V34" s="65">
        <f t="shared" si="7"/>
        <v>51000</v>
      </c>
      <c r="W34" s="38">
        <v>0</v>
      </c>
      <c r="X34" s="38">
        <v>0</v>
      </c>
      <c r="Y34" s="38">
        <v>0</v>
      </c>
      <c r="Z34" s="38">
        <v>0</v>
      </c>
      <c r="AA34" s="130">
        <f t="shared" si="8"/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152400</v>
      </c>
      <c r="AM34" s="38">
        <v>0</v>
      </c>
      <c r="AN34" s="65">
        <f t="shared" si="1"/>
        <v>257400</v>
      </c>
      <c r="AO34" s="65">
        <f t="shared" si="6"/>
        <v>23400</v>
      </c>
      <c r="AP34" s="119">
        <f t="shared" si="2"/>
        <v>280800</v>
      </c>
      <c r="AQ34" s="97">
        <v>327600</v>
      </c>
      <c r="AR34" s="111">
        <f t="shared" si="3"/>
        <v>-46800</v>
      </c>
    </row>
    <row r="35" spans="1:44" ht="15">
      <c r="A35" s="1"/>
      <c r="B35" s="1"/>
      <c r="C35" s="1"/>
      <c r="D35" s="98" t="s">
        <v>64</v>
      </c>
      <c r="E35" s="1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65">
        <f t="shared" si="7"/>
        <v>0</v>
      </c>
      <c r="W35" s="38">
        <v>0</v>
      </c>
      <c r="X35" s="38">
        <v>0</v>
      </c>
      <c r="Y35" s="38">
        <v>0</v>
      </c>
      <c r="Z35" s="38">
        <v>0</v>
      </c>
      <c r="AA35" s="130">
        <f t="shared" si="8"/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72775</v>
      </c>
      <c r="AM35" s="38">
        <v>0</v>
      </c>
      <c r="AN35" s="65">
        <f t="shared" si="1"/>
        <v>72775</v>
      </c>
      <c r="AO35" s="65">
        <f t="shared" si="6"/>
        <v>6615.909090909091</v>
      </c>
      <c r="AP35" s="119">
        <f t="shared" si="2"/>
        <v>79390.90909090909</v>
      </c>
      <c r="AQ35" s="97">
        <v>140000</v>
      </c>
      <c r="AR35" s="111">
        <f t="shared" si="3"/>
        <v>-60609.09090909091</v>
      </c>
    </row>
    <row r="36" spans="1:44" ht="15.75" thickBot="1">
      <c r="A36" s="1"/>
      <c r="B36" s="1"/>
      <c r="C36" s="1"/>
      <c r="D36" s="98" t="s">
        <v>65</v>
      </c>
      <c r="E36" s="1"/>
      <c r="F36" s="87">
        <v>3411.7</v>
      </c>
      <c r="G36" s="87">
        <v>725</v>
      </c>
      <c r="H36" s="87">
        <v>0</v>
      </c>
      <c r="I36" s="87">
        <v>0</v>
      </c>
      <c r="J36" s="87">
        <v>490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39700</v>
      </c>
      <c r="V36" s="105">
        <f t="shared" si="7"/>
        <v>39700</v>
      </c>
      <c r="W36" s="87">
        <v>0</v>
      </c>
      <c r="X36" s="87">
        <v>0</v>
      </c>
      <c r="Y36" s="87">
        <v>0</v>
      </c>
      <c r="Z36" s="87">
        <v>0</v>
      </c>
      <c r="AA36" s="131">
        <f t="shared" si="8"/>
        <v>0</v>
      </c>
      <c r="AB36" s="87">
        <v>0</v>
      </c>
      <c r="AC36" s="87">
        <v>0</v>
      </c>
      <c r="AD36" s="87">
        <v>160.21</v>
      </c>
      <c r="AE36" s="87">
        <v>0</v>
      </c>
      <c r="AF36" s="87">
        <v>9.53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27153.5</v>
      </c>
      <c r="AM36" s="87">
        <v>0</v>
      </c>
      <c r="AN36" s="105">
        <f>ROUND(SUM(F36:P36)+V36+SUM(AA36:AM36),5)</f>
        <v>71649.94</v>
      </c>
      <c r="AO36" s="105">
        <f t="shared" si="6"/>
        <v>6513.630909090909</v>
      </c>
      <c r="AP36" s="120">
        <f t="shared" si="2"/>
        <v>78163.57090909091</v>
      </c>
      <c r="AQ36" s="99">
        <v>36110</v>
      </c>
      <c r="AR36" s="112">
        <f t="shared" si="3"/>
        <v>42053.57090909091</v>
      </c>
    </row>
    <row r="37" spans="1:44" ht="15">
      <c r="A37" s="1"/>
      <c r="B37" s="1"/>
      <c r="C37" s="1" t="s">
        <v>66</v>
      </c>
      <c r="D37" s="98"/>
      <c r="E37" s="1"/>
      <c r="F37" s="38">
        <f aca="true" t="shared" si="9" ref="F37:U37">ROUND(SUM(F5:F36),5)</f>
        <v>64381.34</v>
      </c>
      <c r="G37" s="38">
        <f t="shared" si="9"/>
        <v>725</v>
      </c>
      <c r="H37" s="38">
        <f t="shared" si="9"/>
        <v>0</v>
      </c>
      <c r="I37" s="38">
        <f t="shared" si="9"/>
        <v>0</v>
      </c>
      <c r="J37" s="38">
        <f t="shared" si="9"/>
        <v>2628.8</v>
      </c>
      <c r="K37" s="38">
        <f t="shared" si="9"/>
        <v>23091.81</v>
      </c>
      <c r="L37" s="38">
        <f t="shared" si="9"/>
        <v>0</v>
      </c>
      <c r="M37" s="38">
        <f t="shared" si="9"/>
        <v>69.75</v>
      </c>
      <c r="N37" s="38">
        <f t="shared" si="9"/>
        <v>0</v>
      </c>
      <c r="O37" s="38">
        <f t="shared" si="9"/>
        <v>0</v>
      </c>
      <c r="P37" s="38">
        <f t="shared" si="9"/>
        <v>1802227.81</v>
      </c>
      <c r="Q37" s="38">
        <f t="shared" si="9"/>
        <v>21965</v>
      </c>
      <c r="R37" s="38">
        <f t="shared" si="9"/>
        <v>102330</v>
      </c>
      <c r="S37" s="38">
        <f t="shared" si="9"/>
        <v>0</v>
      </c>
      <c r="T37" s="38">
        <f t="shared" si="9"/>
        <v>29350</v>
      </c>
      <c r="U37" s="38">
        <f t="shared" si="9"/>
        <v>90910</v>
      </c>
      <c r="V37" s="65">
        <f t="shared" si="7"/>
        <v>244555</v>
      </c>
      <c r="W37" s="38">
        <f>ROUND(SUM(W5:W36),5)</f>
        <v>22085</v>
      </c>
      <c r="X37" s="38">
        <f>ROUND(SUM(X5:X36),5)</f>
        <v>60985</v>
      </c>
      <c r="Y37" s="38">
        <f>ROUND(SUM(Y5:Y36),5)</f>
        <v>16367</v>
      </c>
      <c r="Z37" s="38">
        <f>ROUND(SUM(Z5:Z36),5)</f>
        <v>23335</v>
      </c>
      <c r="AA37" s="130">
        <f t="shared" si="8"/>
        <v>122772</v>
      </c>
      <c r="AB37" s="38">
        <f aca="true" t="shared" si="10" ref="AB37:AM37">ROUND(SUM(AB5:AB36),5)</f>
        <v>6500</v>
      </c>
      <c r="AC37" s="38">
        <f t="shared" si="10"/>
        <v>0</v>
      </c>
      <c r="AD37" s="38">
        <f t="shared" si="10"/>
        <v>4336.21</v>
      </c>
      <c r="AE37" s="38">
        <f t="shared" si="10"/>
        <v>11079.12</v>
      </c>
      <c r="AF37" s="38">
        <f t="shared" si="10"/>
        <v>57.18</v>
      </c>
      <c r="AG37" s="38">
        <f t="shared" si="10"/>
        <v>0</v>
      </c>
      <c r="AH37" s="38">
        <f t="shared" si="10"/>
        <v>0</v>
      </c>
      <c r="AI37" s="38">
        <f t="shared" si="10"/>
        <v>0</v>
      </c>
      <c r="AJ37" s="38">
        <f t="shared" si="10"/>
        <v>485168.09</v>
      </c>
      <c r="AK37" s="38">
        <f t="shared" si="10"/>
        <v>0</v>
      </c>
      <c r="AL37" s="38">
        <f t="shared" si="10"/>
        <v>252328.5</v>
      </c>
      <c r="AM37" s="38">
        <f t="shared" si="10"/>
        <v>0</v>
      </c>
      <c r="AN37" s="65">
        <f>ROUND(SUM(F37:P37)+V37+SUM(AA37:AM37),5)</f>
        <v>3019920.61</v>
      </c>
      <c r="AO37" s="65">
        <f>ROUND(SUM(AO5:AO36),5)</f>
        <v>91194.87</v>
      </c>
      <c r="AP37" s="119">
        <f>ROUND(SUM(AP5:AP36),5)</f>
        <v>3111115.48</v>
      </c>
      <c r="AQ37" s="97">
        <f aca="true" t="shared" si="11" ref="AQ37:AR37">ROUND(SUM(AQ5:AQ36),5)</f>
        <v>2772873</v>
      </c>
      <c r="AR37" s="111">
        <f t="shared" si="11"/>
        <v>338242.48</v>
      </c>
    </row>
    <row r="38" spans="1:44" ht="30" customHeight="1">
      <c r="A38" s="1"/>
      <c r="B38" s="1"/>
      <c r="C38" s="1" t="s">
        <v>67</v>
      </c>
      <c r="D38" s="98"/>
      <c r="E38" s="1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65"/>
      <c r="W38" s="38"/>
      <c r="X38" s="38"/>
      <c r="Y38" s="38"/>
      <c r="Z38" s="38"/>
      <c r="AA38" s="130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65"/>
      <c r="AO38" s="65"/>
      <c r="AP38" s="119"/>
      <c r="AQ38" s="97"/>
      <c r="AR38" s="111"/>
    </row>
    <row r="39" spans="1:44" ht="15">
      <c r="A39" s="1"/>
      <c r="B39" s="1"/>
      <c r="C39" s="1"/>
      <c r="D39" s="98" t="s">
        <v>68</v>
      </c>
      <c r="E39" s="1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259.13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65">
        <f>ROUND(SUM(Q39:U39),5)</f>
        <v>0</v>
      </c>
      <c r="W39" s="38">
        <v>0</v>
      </c>
      <c r="X39" s="38">
        <v>0</v>
      </c>
      <c r="Y39" s="38">
        <v>0</v>
      </c>
      <c r="Z39" s="38">
        <v>0</v>
      </c>
      <c r="AA39" s="130">
        <f>ROUND(SUM(W39:Z39),5)</f>
        <v>0</v>
      </c>
      <c r="AB39" s="38">
        <v>0</v>
      </c>
      <c r="AC39" s="38">
        <v>0</v>
      </c>
      <c r="AD39" s="38">
        <v>5085.59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65">
        <f>ROUND(SUM(F39:P39)+V39+SUM(AA39:AM39),5)</f>
        <v>5344.72</v>
      </c>
      <c r="AO39" s="65">
        <f>AN39/11</f>
        <v>485.8836363636364</v>
      </c>
      <c r="AP39" s="119">
        <f aca="true" t="shared" si="12" ref="AP39:AP41">+AN39+AO39</f>
        <v>5830.603636363637</v>
      </c>
      <c r="AQ39" s="97">
        <v>5616</v>
      </c>
      <c r="AR39" s="111">
        <f>+AQ39-AP39</f>
        <v>-214.60363636363672</v>
      </c>
    </row>
    <row r="40" spans="1:44" ht="15">
      <c r="A40" s="1"/>
      <c r="B40" s="1"/>
      <c r="C40" s="1"/>
      <c r="D40" s="98" t="s">
        <v>69</v>
      </c>
      <c r="E40" s="1"/>
      <c r="F40" s="38">
        <v>367.24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65">
        <f>ROUND(SUM(Q40:U40),5)</f>
        <v>0</v>
      </c>
      <c r="W40" s="38">
        <v>0</v>
      </c>
      <c r="X40" s="38">
        <v>0</v>
      </c>
      <c r="Y40" s="38">
        <v>0</v>
      </c>
      <c r="Z40" s="38">
        <v>0</v>
      </c>
      <c r="AA40" s="130">
        <f>ROUND(SUM(W40:Z40),5)</f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65">
        <f>ROUND(SUM(F40:P40)+V40+SUM(AA40:AM40),5)</f>
        <v>367.24</v>
      </c>
      <c r="AO40" s="65">
        <f>AQ40/10*2</f>
        <v>0</v>
      </c>
      <c r="AP40" s="119">
        <f t="shared" si="12"/>
        <v>367.24</v>
      </c>
      <c r="AQ40" s="97">
        <v>0</v>
      </c>
      <c r="AR40" s="111">
        <f aca="true" t="shared" si="13" ref="AR40:AR41">+AQ40-AP40</f>
        <v>-367.24</v>
      </c>
    </row>
    <row r="41" spans="1:44" ht="15.75" thickBot="1">
      <c r="A41" s="1"/>
      <c r="B41" s="1"/>
      <c r="C41" s="1"/>
      <c r="D41" s="98" t="s">
        <v>70</v>
      </c>
      <c r="E41" s="1"/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900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106">
        <f>ROUND(SUM(Q41:U41),5)</f>
        <v>0</v>
      </c>
      <c r="W41" s="88">
        <v>0</v>
      </c>
      <c r="X41" s="88">
        <v>0</v>
      </c>
      <c r="Y41" s="88">
        <v>0</v>
      </c>
      <c r="Z41" s="88">
        <v>0</v>
      </c>
      <c r="AA41" s="132">
        <f>ROUND(SUM(W41:Z41),5)</f>
        <v>0</v>
      </c>
      <c r="AB41" s="88">
        <v>0</v>
      </c>
      <c r="AC41" s="88">
        <v>0</v>
      </c>
      <c r="AD41" s="88">
        <v>345</v>
      </c>
      <c r="AE41" s="88">
        <v>1164.97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106">
        <f>ROUND(SUM(F41:P41)+V41+SUM(AA41:AM41),5)</f>
        <v>2409.97</v>
      </c>
      <c r="AO41" s="106">
        <f>AQ41/10*2</f>
        <v>0</v>
      </c>
      <c r="AP41" s="119">
        <f t="shared" si="12"/>
        <v>2409.97</v>
      </c>
      <c r="AQ41" s="100">
        <v>0</v>
      </c>
      <c r="AR41" s="113">
        <f t="shared" si="13"/>
        <v>-2409.97</v>
      </c>
    </row>
    <row r="42" spans="1:44" ht="15.75" thickBot="1">
      <c r="A42" s="1"/>
      <c r="B42" s="1"/>
      <c r="C42" s="1" t="s">
        <v>71</v>
      </c>
      <c r="D42" s="98"/>
      <c r="E42" s="1"/>
      <c r="F42" s="89">
        <f aca="true" t="shared" si="14" ref="F42:U42">ROUND(SUM(F38:F41),5)</f>
        <v>367.24</v>
      </c>
      <c r="G42" s="89">
        <f t="shared" si="14"/>
        <v>0</v>
      </c>
      <c r="H42" s="89">
        <f t="shared" si="14"/>
        <v>0</v>
      </c>
      <c r="I42" s="89">
        <f t="shared" si="14"/>
        <v>0</v>
      </c>
      <c r="J42" s="89">
        <f t="shared" si="14"/>
        <v>0</v>
      </c>
      <c r="K42" s="89">
        <f t="shared" si="14"/>
        <v>0</v>
      </c>
      <c r="L42" s="89">
        <f t="shared" si="14"/>
        <v>900</v>
      </c>
      <c r="M42" s="89">
        <f t="shared" si="14"/>
        <v>0</v>
      </c>
      <c r="N42" s="89">
        <f t="shared" si="14"/>
        <v>0</v>
      </c>
      <c r="O42" s="89">
        <f t="shared" si="14"/>
        <v>0</v>
      </c>
      <c r="P42" s="89">
        <f t="shared" si="14"/>
        <v>259.13</v>
      </c>
      <c r="Q42" s="89">
        <f t="shared" si="14"/>
        <v>0</v>
      </c>
      <c r="R42" s="89">
        <f t="shared" si="14"/>
        <v>0</v>
      </c>
      <c r="S42" s="89">
        <f t="shared" si="14"/>
        <v>0</v>
      </c>
      <c r="T42" s="89">
        <f t="shared" si="14"/>
        <v>0</v>
      </c>
      <c r="U42" s="89">
        <f t="shared" si="14"/>
        <v>0</v>
      </c>
      <c r="V42" s="107">
        <f>ROUND(SUM(Q42:U42),5)</f>
        <v>0</v>
      </c>
      <c r="W42" s="89">
        <f>ROUND(SUM(W38:W41),5)</f>
        <v>0</v>
      </c>
      <c r="X42" s="89">
        <f>ROUND(SUM(X38:X41),5)</f>
        <v>0</v>
      </c>
      <c r="Y42" s="89">
        <f>ROUND(SUM(Y38:Y41),5)</f>
        <v>0</v>
      </c>
      <c r="Z42" s="89">
        <f>ROUND(SUM(Z38:Z41),5)</f>
        <v>0</v>
      </c>
      <c r="AA42" s="133">
        <f>ROUND(SUM(W42:Z42),5)</f>
        <v>0</v>
      </c>
      <c r="AB42" s="89">
        <f aca="true" t="shared" si="15" ref="AB42:AM42">ROUND(SUM(AB38:AB41),5)</f>
        <v>0</v>
      </c>
      <c r="AC42" s="89">
        <f t="shared" si="15"/>
        <v>0</v>
      </c>
      <c r="AD42" s="89">
        <f t="shared" si="15"/>
        <v>5430.59</v>
      </c>
      <c r="AE42" s="89">
        <f t="shared" si="15"/>
        <v>1164.97</v>
      </c>
      <c r="AF42" s="89">
        <f t="shared" si="15"/>
        <v>0</v>
      </c>
      <c r="AG42" s="89">
        <f t="shared" si="15"/>
        <v>0</v>
      </c>
      <c r="AH42" s="89">
        <f t="shared" si="15"/>
        <v>0</v>
      </c>
      <c r="AI42" s="89">
        <f t="shared" si="15"/>
        <v>0</v>
      </c>
      <c r="AJ42" s="89">
        <f t="shared" si="15"/>
        <v>0</v>
      </c>
      <c r="AK42" s="89">
        <f t="shared" si="15"/>
        <v>0</v>
      </c>
      <c r="AL42" s="89">
        <f t="shared" si="15"/>
        <v>0</v>
      </c>
      <c r="AM42" s="89">
        <f t="shared" si="15"/>
        <v>0</v>
      </c>
      <c r="AN42" s="107">
        <f>ROUND(SUM(F42:P42)+V42+SUM(AA42:AM42),5)</f>
        <v>8121.93</v>
      </c>
      <c r="AO42" s="107">
        <f>SUM(AO39:AO41)</f>
        <v>485.8836363636364</v>
      </c>
      <c r="AP42" s="121">
        <f>SUM(AP39:AP41)</f>
        <v>8607.813636363637</v>
      </c>
      <c r="AQ42" s="101">
        <f aca="true" t="shared" si="16" ref="AQ42:AR42">SUM(AQ39:AQ41)</f>
        <v>5616</v>
      </c>
      <c r="AR42" s="114">
        <f t="shared" si="16"/>
        <v>-2991.8136363636368</v>
      </c>
    </row>
    <row r="43" spans="1:44" ht="30" customHeight="1">
      <c r="A43" s="1"/>
      <c r="B43" s="1" t="s">
        <v>72</v>
      </c>
      <c r="C43" s="1"/>
      <c r="D43" s="98"/>
      <c r="E43" s="1"/>
      <c r="F43" s="38">
        <f aca="true" t="shared" si="17" ref="F43:U43">ROUND(F37-F42,5)</f>
        <v>64014.1</v>
      </c>
      <c r="G43" s="38">
        <f t="shared" si="17"/>
        <v>725</v>
      </c>
      <c r="H43" s="38">
        <f t="shared" si="17"/>
        <v>0</v>
      </c>
      <c r="I43" s="38">
        <f t="shared" si="17"/>
        <v>0</v>
      </c>
      <c r="J43" s="38">
        <f t="shared" si="17"/>
        <v>2628.8</v>
      </c>
      <c r="K43" s="38">
        <f t="shared" si="17"/>
        <v>23091.81</v>
      </c>
      <c r="L43" s="38">
        <f t="shared" si="17"/>
        <v>-900</v>
      </c>
      <c r="M43" s="38">
        <f t="shared" si="17"/>
        <v>69.75</v>
      </c>
      <c r="N43" s="38">
        <f t="shared" si="17"/>
        <v>0</v>
      </c>
      <c r="O43" s="38">
        <f t="shared" si="17"/>
        <v>0</v>
      </c>
      <c r="P43" s="38">
        <f t="shared" si="17"/>
        <v>1801968.68</v>
      </c>
      <c r="Q43" s="38">
        <f t="shared" si="17"/>
        <v>21965</v>
      </c>
      <c r="R43" s="38">
        <f t="shared" si="17"/>
        <v>102330</v>
      </c>
      <c r="S43" s="38">
        <f t="shared" si="17"/>
        <v>0</v>
      </c>
      <c r="T43" s="38">
        <f t="shared" si="17"/>
        <v>29350</v>
      </c>
      <c r="U43" s="38">
        <f t="shared" si="17"/>
        <v>90910</v>
      </c>
      <c r="V43" s="65">
        <f>ROUND(SUM(Q43:U43),5)</f>
        <v>244555</v>
      </c>
      <c r="W43" s="38">
        <f>ROUND(W37-W42,5)</f>
        <v>22085</v>
      </c>
      <c r="X43" s="38">
        <f>ROUND(X37-X42,5)</f>
        <v>60985</v>
      </c>
      <c r="Y43" s="38">
        <f>ROUND(Y37-Y42,5)</f>
        <v>16367</v>
      </c>
      <c r="Z43" s="38">
        <f>ROUND(Z37-Z42,5)</f>
        <v>23335</v>
      </c>
      <c r="AA43" s="130">
        <f>ROUND(SUM(W43:Z43),5)</f>
        <v>122772</v>
      </c>
      <c r="AB43" s="38">
        <f aca="true" t="shared" si="18" ref="AB43:AM43">ROUND(AB37-AB42,5)</f>
        <v>6500</v>
      </c>
      <c r="AC43" s="38">
        <f t="shared" si="18"/>
        <v>0</v>
      </c>
      <c r="AD43" s="38">
        <f t="shared" si="18"/>
        <v>-1094.38</v>
      </c>
      <c r="AE43" s="38">
        <f t="shared" si="18"/>
        <v>9914.15</v>
      </c>
      <c r="AF43" s="38">
        <f t="shared" si="18"/>
        <v>57.18</v>
      </c>
      <c r="AG43" s="38">
        <f t="shared" si="18"/>
        <v>0</v>
      </c>
      <c r="AH43" s="38">
        <f t="shared" si="18"/>
        <v>0</v>
      </c>
      <c r="AI43" s="38">
        <f t="shared" si="18"/>
        <v>0</v>
      </c>
      <c r="AJ43" s="38">
        <f t="shared" si="18"/>
        <v>485168.09</v>
      </c>
      <c r="AK43" s="38">
        <f t="shared" si="18"/>
        <v>0</v>
      </c>
      <c r="AL43" s="38">
        <f t="shared" si="18"/>
        <v>252328.5</v>
      </c>
      <c r="AM43" s="38">
        <f t="shared" si="18"/>
        <v>0</v>
      </c>
      <c r="AN43" s="65">
        <f>ROUND(SUM(F43:P43)+V43+SUM(AA43:AM43),5)</f>
        <v>3011798.68</v>
      </c>
      <c r="AO43" s="65">
        <f aca="true" t="shared" si="19" ref="AO43:AQ43">+AO37-AO42</f>
        <v>90708.98636363636</v>
      </c>
      <c r="AP43" s="119">
        <f t="shared" si="19"/>
        <v>3102507.6663636365</v>
      </c>
      <c r="AQ43" s="97">
        <f t="shared" si="19"/>
        <v>2767257</v>
      </c>
      <c r="AR43" s="111">
        <f>+AN43-AQ43</f>
        <v>244541.68000000017</v>
      </c>
    </row>
    <row r="44" spans="1:44" ht="30" customHeight="1">
      <c r="A44" s="1"/>
      <c r="B44" s="1"/>
      <c r="C44" s="1" t="s">
        <v>73</v>
      </c>
      <c r="D44" s="98"/>
      <c r="E44" s="1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65"/>
      <c r="W44" s="38"/>
      <c r="X44" s="38"/>
      <c r="Y44" s="38"/>
      <c r="Z44" s="38"/>
      <c r="AA44" s="130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65"/>
      <c r="AO44" s="65"/>
      <c r="AP44" s="122"/>
      <c r="AQ44" s="102"/>
      <c r="AR44" s="115"/>
    </row>
    <row r="45" spans="1:44" ht="15">
      <c r="A45" s="1"/>
      <c r="B45" s="1"/>
      <c r="C45" s="1"/>
      <c r="D45" s="98" t="s">
        <v>74</v>
      </c>
      <c r="E45" s="1"/>
      <c r="F45" s="38">
        <v>527280.1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9638.25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65">
        <f aca="true" t="shared" si="20" ref="V45:V66">ROUND(SUM(Q45:U45),5)</f>
        <v>0</v>
      </c>
      <c r="W45" s="38">
        <v>0</v>
      </c>
      <c r="X45" s="38">
        <v>0</v>
      </c>
      <c r="Y45" s="38">
        <v>0</v>
      </c>
      <c r="Z45" s="38">
        <v>0</v>
      </c>
      <c r="AA45" s="130">
        <f aca="true" t="shared" si="21" ref="AA45:AA66">ROUND(SUM(W45:Z45),5)</f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286439.51</v>
      </c>
      <c r="AK45" s="38">
        <v>0</v>
      </c>
      <c r="AL45" s="38">
        <v>92858.99</v>
      </c>
      <c r="AM45" s="38">
        <v>0</v>
      </c>
      <c r="AN45" s="65">
        <f aca="true" t="shared" si="22" ref="AN45:AN108">ROUND(SUM(F45:P45)+V45+SUM(AA45:AM45),5)</f>
        <v>916216.85</v>
      </c>
      <c r="AO45" s="65">
        <f aca="true" t="shared" si="23" ref="AO45:AO76">AN45/11</f>
        <v>83292.4409090909</v>
      </c>
      <c r="AP45" s="119">
        <f aca="true" t="shared" si="24" ref="AP45:AP108">+AN45+AO45</f>
        <v>999509.2909090909</v>
      </c>
      <c r="AQ45" s="97">
        <v>918914</v>
      </c>
      <c r="AR45" s="111">
        <f aca="true" t="shared" si="25" ref="AR45:AR108">+AQ45-AP45</f>
        <v>-80595.2909090909</v>
      </c>
    </row>
    <row r="46" spans="1:44" ht="15">
      <c r="A46" s="1"/>
      <c r="B46" s="1"/>
      <c r="C46" s="1"/>
      <c r="D46" s="98" t="s">
        <v>75</v>
      </c>
      <c r="E46" s="1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65">
        <f t="shared" si="20"/>
        <v>0</v>
      </c>
      <c r="W46" s="38">
        <v>0</v>
      </c>
      <c r="X46" s="38">
        <v>0</v>
      </c>
      <c r="Y46" s="38">
        <v>0</v>
      </c>
      <c r="Z46" s="38">
        <v>0</v>
      </c>
      <c r="AA46" s="130">
        <f t="shared" si="21"/>
        <v>0</v>
      </c>
      <c r="AB46" s="38">
        <v>657.38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65">
        <f t="shared" si="22"/>
        <v>657.38</v>
      </c>
      <c r="AO46" s="65">
        <f t="shared" si="23"/>
        <v>59.76181818181818</v>
      </c>
      <c r="AP46" s="119">
        <f t="shared" si="24"/>
        <v>717.1418181818182</v>
      </c>
      <c r="AQ46" s="97">
        <v>39000</v>
      </c>
      <c r="AR46" s="111">
        <f t="shared" si="25"/>
        <v>38282.858181818185</v>
      </c>
    </row>
    <row r="47" spans="1:44" ht="15">
      <c r="A47" s="1"/>
      <c r="B47" s="1"/>
      <c r="C47" s="1"/>
      <c r="D47" s="98" t="s">
        <v>76</v>
      </c>
      <c r="E47" s="1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65">
        <f t="shared" si="20"/>
        <v>0</v>
      </c>
      <c r="W47" s="38">
        <v>0</v>
      </c>
      <c r="X47" s="38">
        <v>0</v>
      </c>
      <c r="Y47" s="38">
        <v>0</v>
      </c>
      <c r="Z47" s="38">
        <v>0</v>
      </c>
      <c r="AA47" s="130">
        <f t="shared" si="21"/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65">
        <f t="shared" si="22"/>
        <v>0</v>
      </c>
      <c r="AO47" s="65">
        <f t="shared" si="23"/>
        <v>0</v>
      </c>
      <c r="AP47" s="119">
        <f t="shared" si="24"/>
        <v>0</v>
      </c>
      <c r="AQ47" s="97">
        <v>27728</v>
      </c>
      <c r="AR47" s="111">
        <f t="shared" si="25"/>
        <v>27728</v>
      </c>
    </row>
    <row r="48" spans="1:44" ht="15">
      <c r="A48" s="1"/>
      <c r="B48" s="1"/>
      <c r="C48" s="1"/>
      <c r="D48" s="98" t="s">
        <v>77</v>
      </c>
      <c r="E48" s="1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5010</v>
      </c>
      <c r="L48" s="38">
        <v>0</v>
      </c>
      <c r="M48" s="38">
        <v>0</v>
      </c>
      <c r="N48" s="38">
        <v>0</v>
      </c>
      <c r="O48" s="38">
        <v>0</v>
      </c>
      <c r="P48" s="38">
        <v>9345.28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65">
        <f t="shared" si="20"/>
        <v>0</v>
      </c>
      <c r="W48" s="38">
        <v>0</v>
      </c>
      <c r="X48" s="38">
        <v>0</v>
      </c>
      <c r="Y48" s="38">
        <v>0</v>
      </c>
      <c r="Z48" s="38">
        <v>0</v>
      </c>
      <c r="AA48" s="130">
        <f t="shared" si="21"/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65">
        <f t="shared" si="22"/>
        <v>14355.28</v>
      </c>
      <c r="AO48" s="65">
        <f t="shared" si="23"/>
        <v>1305.0254545454545</v>
      </c>
      <c r="AP48" s="119">
        <f t="shared" si="24"/>
        <v>15660.305454545454</v>
      </c>
      <c r="AQ48" s="97">
        <v>14820</v>
      </c>
      <c r="AR48" s="111">
        <f t="shared" si="25"/>
        <v>-840.3054545454543</v>
      </c>
    </row>
    <row r="49" spans="1:44" ht="15">
      <c r="A49" s="1"/>
      <c r="B49" s="1"/>
      <c r="C49" s="1"/>
      <c r="D49" s="98" t="s">
        <v>78</v>
      </c>
      <c r="E49" s="1"/>
      <c r="F49" s="38">
        <v>43395.6</v>
      </c>
      <c r="G49" s="38">
        <v>0</v>
      </c>
      <c r="H49" s="38">
        <v>0</v>
      </c>
      <c r="I49" s="38">
        <v>0</v>
      </c>
      <c r="J49" s="38">
        <v>0</v>
      </c>
      <c r="K49" s="38">
        <v>512.41</v>
      </c>
      <c r="L49" s="38">
        <v>0</v>
      </c>
      <c r="M49" s="38">
        <v>0</v>
      </c>
      <c r="N49" s="38">
        <v>0</v>
      </c>
      <c r="O49" s="38">
        <v>0</v>
      </c>
      <c r="P49" s="38">
        <v>1407.22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65">
        <f t="shared" si="20"/>
        <v>0</v>
      </c>
      <c r="W49" s="38">
        <v>0</v>
      </c>
      <c r="X49" s="38">
        <v>0</v>
      </c>
      <c r="Y49" s="38">
        <v>0</v>
      </c>
      <c r="Z49" s="38">
        <v>0</v>
      </c>
      <c r="AA49" s="130">
        <f t="shared" si="21"/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24472.53</v>
      </c>
      <c r="AK49" s="38">
        <v>0</v>
      </c>
      <c r="AL49" s="38">
        <v>7956.77</v>
      </c>
      <c r="AM49" s="38">
        <v>0</v>
      </c>
      <c r="AN49" s="65">
        <f t="shared" si="22"/>
        <v>77744.53</v>
      </c>
      <c r="AO49" s="65">
        <f t="shared" si="23"/>
        <v>7067.6845454545455</v>
      </c>
      <c r="AP49" s="119">
        <f t="shared" si="24"/>
        <v>84812.21454545454</v>
      </c>
      <c r="AQ49" s="97">
        <v>82100</v>
      </c>
      <c r="AR49" s="111">
        <f t="shared" si="25"/>
        <v>-2712.214545454539</v>
      </c>
    </row>
    <row r="50" spans="1:44" ht="15">
      <c r="A50" s="1"/>
      <c r="B50" s="1"/>
      <c r="C50" s="1"/>
      <c r="D50" s="98" t="s">
        <v>79</v>
      </c>
      <c r="E50" s="1"/>
      <c r="F50" s="38">
        <v>2638.57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65">
        <f t="shared" si="20"/>
        <v>0</v>
      </c>
      <c r="W50" s="38">
        <v>0</v>
      </c>
      <c r="X50" s="38">
        <v>0</v>
      </c>
      <c r="Y50" s="38">
        <v>0</v>
      </c>
      <c r="Z50" s="38">
        <v>0</v>
      </c>
      <c r="AA50" s="130">
        <f t="shared" si="21"/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1865.08</v>
      </c>
      <c r="AK50" s="38">
        <v>0</v>
      </c>
      <c r="AL50" s="38">
        <v>0</v>
      </c>
      <c r="AM50" s="38">
        <v>0</v>
      </c>
      <c r="AN50" s="65">
        <f t="shared" si="22"/>
        <v>4503.65</v>
      </c>
      <c r="AO50" s="65">
        <f t="shared" si="23"/>
        <v>409.42272727272723</v>
      </c>
      <c r="AP50" s="119">
        <f t="shared" si="24"/>
        <v>4913.072727272727</v>
      </c>
      <c r="AQ50" s="97">
        <v>12840</v>
      </c>
      <c r="AR50" s="111">
        <f t="shared" si="25"/>
        <v>7926.927272727273</v>
      </c>
    </row>
    <row r="51" spans="1:44" ht="15">
      <c r="A51" s="1"/>
      <c r="B51" s="1"/>
      <c r="C51" s="1"/>
      <c r="D51" s="98" t="s">
        <v>80</v>
      </c>
      <c r="E51" s="1"/>
      <c r="F51" s="38">
        <v>3716.55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65">
        <f t="shared" si="20"/>
        <v>0</v>
      </c>
      <c r="W51" s="38">
        <v>0</v>
      </c>
      <c r="X51" s="38">
        <v>0</v>
      </c>
      <c r="Y51" s="38">
        <v>0</v>
      </c>
      <c r="Z51" s="38">
        <v>0</v>
      </c>
      <c r="AA51" s="130">
        <f t="shared" si="21"/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3532.96</v>
      </c>
      <c r="AK51" s="38">
        <v>0</v>
      </c>
      <c r="AL51" s="38">
        <v>0</v>
      </c>
      <c r="AM51" s="38">
        <v>0</v>
      </c>
      <c r="AN51" s="65">
        <f t="shared" si="22"/>
        <v>7249.51</v>
      </c>
      <c r="AO51" s="65">
        <f t="shared" si="23"/>
        <v>659.0463636363637</v>
      </c>
      <c r="AP51" s="119">
        <f t="shared" si="24"/>
        <v>7908.556363636364</v>
      </c>
      <c r="AQ51" s="97">
        <v>11016</v>
      </c>
      <c r="AR51" s="111">
        <f t="shared" si="25"/>
        <v>3107.443636363636</v>
      </c>
    </row>
    <row r="52" spans="1:44" ht="15">
      <c r="A52" s="1"/>
      <c r="B52" s="1"/>
      <c r="C52" s="1"/>
      <c r="D52" s="98" t="s">
        <v>81</v>
      </c>
      <c r="E52" s="1"/>
      <c r="F52" s="38">
        <v>21167.94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65">
        <f t="shared" si="20"/>
        <v>0</v>
      </c>
      <c r="W52" s="38">
        <v>0</v>
      </c>
      <c r="X52" s="38">
        <v>0</v>
      </c>
      <c r="Y52" s="38">
        <v>0</v>
      </c>
      <c r="Z52" s="38">
        <v>0</v>
      </c>
      <c r="AA52" s="130">
        <f t="shared" si="21"/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17344.36</v>
      </c>
      <c r="AK52" s="38">
        <v>0</v>
      </c>
      <c r="AL52" s="38">
        <v>0</v>
      </c>
      <c r="AM52" s="38">
        <v>0</v>
      </c>
      <c r="AN52" s="65">
        <f t="shared" si="22"/>
        <v>38512.3</v>
      </c>
      <c r="AO52" s="65">
        <f t="shared" si="23"/>
        <v>3501.118181818182</v>
      </c>
      <c r="AP52" s="119">
        <f t="shared" si="24"/>
        <v>42013.41818181818</v>
      </c>
      <c r="AQ52" s="97">
        <v>68886</v>
      </c>
      <c r="AR52" s="111">
        <f t="shared" si="25"/>
        <v>26872.581818181818</v>
      </c>
    </row>
    <row r="53" spans="1:44" ht="15">
      <c r="A53" s="1"/>
      <c r="B53" s="1"/>
      <c r="C53" s="1"/>
      <c r="D53" s="98" t="s">
        <v>82</v>
      </c>
      <c r="E53" s="1"/>
      <c r="F53" s="38">
        <v>1298.24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65">
        <f t="shared" si="20"/>
        <v>0</v>
      </c>
      <c r="W53" s="38">
        <v>0</v>
      </c>
      <c r="X53" s="38">
        <v>0</v>
      </c>
      <c r="Y53" s="38">
        <v>0</v>
      </c>
      <c r="Z53" s="38">
        <v>0</v>
      </c>
      <c r="AA53" s="130">
        <f t="shared" si="21"/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1118.88</v>
      </c>
      <c r="AK53" s="38">
        <v>0</v>
      </c>
      <c r="AL53" s="38">
        <v>0</v>
      </c>
      <c r="AM53" s="38">
        <v>0</v>
      </c>
      <c r="AN53" s="65">
        <f t="shared" si="22"/>
        <v>2417.12</v>
      </c>
      <c r="AO53" s="65">
        <f t="shared" si="23"/>
        <v>219.7381818181818</v>
      </c>
      <c r="AP53" s="119">
        <f t="shared" si="24"/>
        <v>2636.8581818181815</v>
      </c>
      <c r="AQ53" s="97">
        <v>2040</v>
      </c>
      <c r="AR53" s="111">
        <f t="shared" si="25"/>
        <v>-596.8581818181815</v>
      </c>
    </row>
    <row r="54" spans="1:44" ht="15">
      <c r="A54" s="1"/>
      <c r="B54" s="1"/>
      <c r="C54" s="1"/>
      <c r="D54" s="98" t="s">
        <v>83</v>
      </c>
      <c r="E54" s="1"/>
      <c r="F54" s="38">
        <v>4333.46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65">
        <f t="shared" si="20"/>
        <v>0</v>
      </c>
      <c r="W54" s="38">
        <v>0</v>
      </c>
      <c r="X54" s="38">
        <v>0</v>
      </c>
      <c r="Y54" s="38">
        <v>0</v>
      </c>
      <c r="Z54" s="38">
        <v>0</v>
      </c>
      <c r="AA54" s="130">
        <f t="shared" si="21"/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2631.41</v>
      </c>
      <c r="AK54" s="38">
        <v>0</v>
      </c>
      <c r="AL54" s="38">
        <v>152</v>
      </c>
      <c r="AM54" s="38">
        <v>0</v>
      </c>
      <c r="AN54" s="65">
        <f t="shared" si="22"/>
        <v>7116.87</v>
      </c>
      <c r="AO54" s="65">
        <f t="shared" si="23"/>
        <v>646.9881818181818</v>
      </c>
      <c r="AP54" s="119">
        <f t="shared" si="24"/>
        <v>7763.858181818182</v>
      </c>
      <c r="AQ54" s="97">
        <v>19160</v>
      </c>
      <c r="AR54" s="111">
        <f t="shared" si="25"/>
        <v>11396.141818181819</v>
      </c>
    </row>
    <row r="55" spans="1:44" ht="15">
      <c r="A55" s="1"/>
      <c r="B55" s="1"/>
      <c r="C55" s="1"/>
      <c r="D55" s="98" t="s">
        <v>84</v>
      </c>
      <c r="E55" s="1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65">
        <f t="shared" si="20"/>
        <v>0</v>
      </c>
      <c r="W55" s="38">
        <v>0</v>
      </c>
      <c r="X55" s="38">
        <v>0</v>
      </c>
      <c r="Y55" s="38">
        <v>0</v>
      </c>
      <c r="Z55" s="38">
        <v>0</v>
      </c>
      <c r="AA55" s="130">
        <f t="shared" si="21"/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243.77</v>
      </c>
      <c r="AM55" s="38">
        <v>0</v>
      </c>
      <c r="AN55" s="65">
        <f t="shared" si="22"/>
        <v>243.77</v>
      </c>
      <c r="AO55" s="65">
        <f t="shared" si="23"/>
        <v>22.16090909090909</v>
      </c>
      <c r="AP55" s="119">
        <f t="shared" si="24"/>
        <v>265.9309090909091</v>
      </c>
      <c r="AQ55" s="97">
        <v>0</v>
      </c>
      <c r="AR55" s="111">
        <f t="shared" si="25"/>
        <v>-265.9309090909091</v>
      </c>
    </row>
    <row r="56" spans="1:44" ht="15">
      <c r="A56" s="1"/>
      <c r="B56" s="1"/>
      <c r="C56" s="1"/>
      <c r="D56" s="98" t="s">
        <v>85</v>
      </c>
      <c r="E56" s="1"/>
      <c r="F56" s="38">
        <v>14549.18</v>
      </c>
      <c r="G56" s="38">
        <v>11.63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99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65">
        <f t="shared" si="20"/>
        <v>0</v>
      </c>
      <c r="W56" s="38">
        <v>0</v>
      </c>
      <c r="X56" s="38">
        <v>0</v>
      </c>
      <c r="Y56" s="38">
        <v>0</v>
      </c>
      <c r="Z56" s="38">
        <v>0</v>
      </c>
      <c r="AA56" s="130">
        <f t="shared" si="21"/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10.02</v>
      </c>
      <c r="AI56" s="38">
        <v>82.53</v>
      </c>
      <c r="AJ56" s="38">
        <v>7344.06</v>
      </c>
      <c r="AK56" s="38">
        <v>0</v>
      </c>
      <c r="AL56" s="38">
        <v>3416.02</v>
      </c>
      <c r="AM56" s="38">
        <v>0</v>
      </c>
      <c r="AN56" s="65">
        <f t="shared" si="22"/>
        <v>25512.44</v>
      </c>
      <c r="AO56" s="65">
        <f t="shared" si="23"/>
        <v>2319.312727272727</v>
      </c>
      <c r="AP56" s="119">
        <f t="shared" si="24"/>
        <v>27831.752727272724</v>
      </c>
      <c r="AQ56" s="97">
        <v>65980</v>
      </c>
      <c r="AR56" s="111">
        <f t="shared" si="25"/>
        <v>38148.247272727276</v>
      </c>
    </row>
    <row r="57" spans="1:44" ht="15">
      <c r="A57" s="1"/>
      <c r="B57" s="1"/>
      <c r="C57" s="1"/>
      <c r="D57" s="98" t="s">
        <v>86</v>
      </c>
      <c r="E57" s="1"/>
      <c r="F57" s="38">
        <v>6094.67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65">
        <f t="shared" si="20"/>
        <v>0</v>
      </c>
      <c r="W57" s="38">
        <v>0</v>
      </c>
      <c r="X57" s="38">
        <v>0</v>
      </c>
      <c r="Y57" s="38">
        <v>0</v>
      </c>
      <c r="Z57" s="38">
        <v>0</v>
      </c>
      <c r="AA57" s="130">
        <f t="shared" si="21"/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2612</v>
      </c>
      <c r="AM57" s="38">
        <v>0</v>
      </c>
      <c r="AN57" s="65">
        <f t="shared" si="22"/>
        <v>8706.67</v>
      </c>
      <c r="AO57" s="65">
        <f t="shared" si="23"/>
        <v>791.5154545454545</v>
      </c>
      <c r="AP57" s="119">
        <f t="shared" si="24"/>
        <v>9498.185454545455</v>
      </c>
      <c r="AQ57" s="97">
        <v>9840</v>
      </c>
      <c r="AR57" s="111">
        <f t="shared" si="25"/>
        <v>341.8145454545447</v>
      </c>
    </row>
    <row r="58" spans="1:44" ht="15">
      <c r="A58" s="1"/>
      <c r="B58" s="1"/>
      <c r="C58" s="1"/>
      <c r="D58" s="98" t="s">
        <v>87</v>
      </c>
      <c r="E58" s="1"/>
      <c r="F58" s="38">
        <v>848.33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65">
        <f t="shared" si="20"/>
        <v>0</v>
      </c>
      <c r="W58" s="38">
        <v>0</v>
      </c>
      <c r="X58" s="38">
        <v>0</v>
      </c>
      <c r="Y58" s="38">
        <v>0</v>
      </c>
      <c r="Z58" s="38">
        <v>0</v>
      </c>
      <c r="AA58" s="130">
        <f t="shared" si="21"/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363.57</v>
      </c>
      <c r="AM58" s="38">
        <v>0</v>
      </c>
      <c r="AN58" s="65">
        <f t="shared" si="22"/>
        <v>1211.9</v>
      </c>
      <c r="AO58" s="65">
        <f t="shared" si="23"/>
        <v>110.17272727272729</v>
      </c>
      <c r="AP58" s="119">
        <f t="shared" si="24"/>
        <v>1322.0727272727274</v>
      </c>
      <c r="AQ58" s="97">
        <v>1512</v>
      </c>
      <c r="AR58" s="111">
        <f t="shared" si="25"/>
        <v>189.92727272727257</v>
      </c>
    </row>
    <row r="59" spans="1:44" ht="15">
      <c r="A59" s="1"/>
      <c r="B59" s="1"/>
      <c r="C59" s="1"/>
      <c r="D59" s="98" t="s">
        <v>88</v>
      </c>
      <c r="E59" s="1"/>
      <c r="F59" s="38">
        <v>250.6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65">
        <f t="shared" si="20"/>
        <v>0</v>
      </c>
      <c r="W59" s="38">
        <v>0</v>
      </c>
      <c r="X59" s="38">
        <v>0</v>
      </c>
      <c r="Y59" s="38">
        <v>0</v>
      </c>
      <c r="Z59" s="38">
        <v>0</v>
      </c>
      <c r="AA59" s="130">
        <f t="shared" si="21"/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107.37</v>
      </c>
      <c r="AM59" s="38">
        <v>0</v>
      </c>
      <c r="AN59" s="65">
        <f t="shared" si="22"/>
        <v>357.97</v>
      </c>
      <c r="AO59" s="65">
        <f t="shared" si="23"/>
        <v>32.54272727272728</v>
      </c>
      <c r="AP59" s="119">
        <f t="shared" si="24"/>
        <v>390.5127272727273</v>
      </c>
      <c r="AQ59" s="97">
        <v>420</v>
      </c>
      <c r="AR59" s="111">
        <f t="shared" si="25"/>
        <v>29.487272727272682</v>
      </c>
    </row>
    <row r="60" spans="1:44" ht="15">
      <c r="A60" s="1"/>
      <c r="B60" s="1"/>
      <c r="C60" s="1"/>
      <c r="D60" s="98" t="s">
        <v>89</v>
      </c>
      <c r="E60" s="1"/>
      <c r="F60" s="38">
        <v>2746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65">
        <f t="shared" si="20"/>
        <v>0</v>
      </c>
      <c r="W60" s="38">
        <v>0</v>
      </c>
      <c r="X60" s="38">
        <v>0</v>
      </c>
      <c r="Y60" s="38">
        <v>0</v>
      </c>
      <c r="Z60" s="38">
        <v>0</v>
      </c>
      <c r="AA60" s="130">
        <f t="shared" si="21"/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2674</v>
      </c>
      <c r="AM60" s="38">
        <v>0</v>
      </c>
      <c r="AN60" s="65">
        <f t="shared" si="22"/>
        <v>5420</v>
      </c>
      <c r="AO60" s="65">
        <f t="shared" si="23"/>
        <v>492.72727272727275</v>
      </c>
      <c r="AP60" s="119">
        <f t="shared" si="24"/>
        <v>5912.727272727273</v>
      </c>
      <c r="AQ60" s="97">
        <v>6000</v>
      </c>
      <c r="AR60" s="111">
        <f t="shared" si="25"/>
        <v>87.27272727272702</v>
      </c>
    </row>
    <row r="61" spans="1:44" ht="15">
      <c r="A61" s="1"/>
      <c r="B61" s="1"/>
      <c r="C61" s="1"/>
      <c r="D61" s="98" t="s">
        <v>90</v>
      </c>
      <c r="E61" s="1"/>
      <c r="F61" s="38">
        <v>1136.19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65">
        <f t="shared" si="20"/>
        <v>0</v>
      </c>
      <c r="W61" s="38">
        <v>0</v>
      </c>
      <c r="X61" s="38">
        <v>0</v>
      </c>
      <c r="Y61" s="38">
        <v>0</v>
      </c>
      <c r="Z61" s="38">
        <v>0</v>
      </c>
      <c r="AA61" s="130">
        <f t="shared" si="21"/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65">
        <f t="shared" si="22"/>
        <v>1136.19</v>
      </c>
      <c r="AO61" s="65">
        <f t="shared" si="23"/>
        <v>103.29</v>
      </c>
      <c r="AP61" s="119">
        <f t="shared" si="24"/>
        <v>1239.48</v>
      </c>
      <c r="AQ61" s="97">
        <v>1344</v>
      </c>
      <c r="AR61" s="111">
        <f t="shared" si="25"/>
        <v>104.51999999999998</v>
      </c>
    </row>
    <row r="62" spans="1:44" ht="15">
      <c r="A62" s="1"/>
      <c r="B62" s="1"/>
      <c r="C62" s="1"/>
      <c r="D62" s="98" t="s">
        <v>91</v>
      </c>
      <c r="E62" s="1"/>
      <c r="F62" s="38">
        <v>10016.84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65">
        <f t="shared" si="20"/>
        <v>0</v>
      </c>
      <c r="W62" s="38">
        <v>0</v>
      </c>
      <c r="X62" s="38">
        <v>0</v>
      </c>
      <c r="Y62" s="38">
        <v>0</v>
      </c>
      <c r="Z62" s="38">
        <v>0</v>
      </c>
      <c r="AA62" s="130">
        <f t="shared" si="21"/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65">
        <f t="shared" si="22"/>
        <v>10016.84</v>
      </c>
      <c r="AO62" s="65">
        <f t="shared" si="23"/>
        <v>910.6218181818182</v>
      </c>
      <c r="AP62" s="119">
        <f t="shared" si="24"/>
        <v>10927.461818181819</v>
      </c>
      <c r="AQ62" s="97">
        <v>10452</v>
      </c>
      <c r="AR62" s="111">
        <f t="shared" si="25"/>
        <v>-475.46181818181867</v>
      </c>
    </row>
    <row r="63" spans="1:44" ht="15">
      <c r="A63" s="1"/>
      <c r="B63" s="1"/>
      <c r="C63" s="1"/>
      <c r="D63" s="98" t="s">
        <v>92</v>
      </c>
      <c r="E63" s="1"/>
      <c r="F63" s="38">
        <v>986.38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65">
        <f t="shared" si="20"/>
        <v>0</v>
      </c>
      <c r="W63" s="38">
        <v>0</v>
      </c>
      <c r="X63" s="38">
        <v>0</v>
      </c>
      <c r="Y63" s="38">
        <v>0</v>
      </c>
      <c r="Z63" s="38">
        <v>0</v>
      </c>
      <c r="AA63" s="130">
        <f t="shared" si="21"/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422.69</v>
      </c>
      <c r="AM63" s="38">
        <v>0</v>
      </c>
      <c r="AN63" s="65">
        <f t="shared" si="22"/>
        <v>1409.07</v>
      </c>
      <c r="AO63" s="65">
        <f t="shared" si="23"/>
        <v>128.09727272727272</v>
      </c>
      <c r="AP63" s="119">
        <f t="shared" si="24"/>
        <v>1537.1672727272726</v>
      </c>
      <c r="AQ63" s="97">
        <v>1452</v>
      </c>
      <c r="AR63" s="111">
        <f t="shared" si="25"/>
        <v>-85.16727272727258</v>
      </c>
    </row>
    <row r="64" spans="1:44" ht="15">
      <c r="A64" s="1"/>
      <c r="B64" s="1"/>
      <c r="C64" s="1"/>
      <c r="D64" s="98" t="s">
        <v>93</v>
      </c>
      <c r="E64" s="1"/>
      <c r="F64" s="38">
        <v>4262.01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65">
        <f t="shared" si="20"/>
        <v>0</v>
      </c>
      <c r="W64" s="38">
        <v>0</v>
      </c>
      <c r="X64" s="38">
        <v>0</v>
      </c>
      <c r="Y64" s="38">
        <v>0</v>
      </c>
      <c r="Z64" s="38">
        <v>0</v>
      </c>
      <c r="AA64" s="130">
        <f t="shared" si="21"/>
        <v>0</v>
      </c>
      <c r="AB64" s="38">
        <v>1285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65">
        <f t="shared" si="22"/>
        <v>5547.01</v>
      </c>
      <c r="AO64" s="65">
        <f t="shared" si="23"/>
        <v>504.2736363636364</v>
      </c>
      <c r="AP64" s="119">
        <f t="shared" si="24"/>
        <v>6051.283636363637</v>
      </c>
      <c r="AQ64" s="97">
        <v>4400</v>
      </c>
      <c r="AR64" s="111">
        <f t="shared" si="25"/>
        <v>-1651.283636363637</v>
      </c>
    </row>
    <row r="65" spans="1:44" ht="15">
      <c r="A65" s="1"/>
      <c r="B65" s="1"/>
      <c r="C65" s="1"/>
      <c r="D65" s="98" t="s">
        <v>94</v>
      </c>
      <c r="E65" s="1"/>
      <c r="F65" s="38">
        <v>2520.51</v>
      </c>
      <c r="G65" s="38">
        <v>0</v>
      </c>
      <c r="H65" s="38">
        <v>0</v>
      </c>
      <c r="I65" s="38">
        <v>0</v>
      </c>
      <c r="J65" s="38">
        <v>0</v>
      </c>
      <c r="K65" s="38">
        <v>160.55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65">
        <f t="shared" si="20"/>
        <v>0</v>
      </c>
      <c r="W65" s="38">
        <v>0</v>
      </c>
      <c r="X65" s="38">
        <v>0</v>
      </c>
      <c r="Y65" s="38">
        <v>0</v>
      </c>
      <c r="Z65" s="38">
        <v>0</v>
      </c>
      <c r="AA65" s="130">
        <f t="shared" si="21"/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1472.73</v>
      </c>
      <c r="AK65" s="38">
        <v>0</v>
      </c>
      <c r="AL65" s="38">
        <v>425.18</v>
      </c>
      <c r="AM65" s="38">
        <v>0</v>
      </c>
      <c r="AN65" s="65">
        <f t="shared" si="22"/>
        <v>4578.97</v>
      </c>
      <c r="AO65" s="65">
        <f t="shared" si="23"/>
        <v>416.27000000000004</v>
      </c>
      <c r="AP65" s="119">
        <f t="shared" si="24"/>
        <v>4995.240000000001</v>
      </c>
      <c r="AQ65" s="97">
        <v>1836</v>
      </c>
      <c r="AR65" s="111">
        <f t="shared" si="25"/>
        <v>-3159.2400000000007</v>
      </c>
    </row>
    <row r="66" spans="1:44" ht="15">
      <c r="A66" s="1"/>
      <c r="B66" s="1"/>
      <c r="C66" s="1"/>
      <c r="D66" s="98" t="s">
        <v>95</v>
      </c>
      <c r="E66" s="1"/>
      <c r="F66" s="38">
        <v>1166.92</v>
      </c>
      <c r="G66" s="38">
        <v>44.8</v>
      </c>
      <c r="H66" s="38">
        <v>32.57</v>
      </c>
      <c r="I66" s="38">
        <v>0</v>
      </c>
      <c r="J66" s="38">
        <v>0</v>
      </c>
      <c r="K66" s="38">
        <v>107.55</v>
      </c>
      <c r="L66" s="38">
        <v>24.54</v>
      </c>
      <c r="M66" s="38">
        <v>0</v>
      </c>
      <c r="N66" s="38">
        <v>91.03</v>
      </c>
      <c r="O66" s="38">
        <v>0</v>
      </c>
      <c r="P66" s="38">
        <v>204.28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65">
        <f t="shared" si="20"/>
        <v>0</v>
      </c>
      <c r="W66" s="38">
        <v>308.28</v>
      </c>
      <c r="X66" s="38">
        <v>0</v>
      </c>
      <c r="Y66" s="38">
        <v>0</v>
      </c>
      <c r="Z66" s="38">
        <v>817.24</v>
      </c>
      <c r="AA66" s="130">
        <f t="shared" si="21"/>
        <v>1125.52</v>
      </c>
      <c r="AB66" s="38">
        <v>0</v>
      </c>
      <c r="AC66" s="38">
        <v>0</v>
      </c>
      <c r="AD66" s="38">
        <v>74.39</v>
      </c>
      <c r="AE66" s="38">
        <v>0</v>
      </c>
      <c r="AF66" s="38">
        <v>0</v>
      </c>
      <c r="AG66" s="38">
        <v>0</v>
      </c>
      <c r="AH66" s="38">
        <v>0</v>
      </c>
      <c r="AI66" s="38">
        <v>59.63</v>
      </c>
      <c r="AJ66" s="38">
        <v>54.5</v>
      </c>
      <c r="AK66" s="38">
        <v>0</v>
      </c>
      <c r="AL66" s="38">
        <v>190.51</v>
      </c>
      <c r="AM66" s="38">
        <v>0</v>
      </c>
      <c r="AN66" s="65">
        <f t="shared" si="22"/>
        <v>3176.24</v>
      </c>
      <c r="AO66" s="65">
        <f t="shared" si="23"/>
        <v>288.7490909090909</v>
      </c>
      <c r="AP66" s="119">
        <f t="shared" si="24"/>
        <v>3464.989090909091</v>
      </c>
      <c r="AQ66" s="97">
        <v>14184</v>
      </c>
      <c r="AR66" s="111">
        <f t="shared" si="25"/>
        <v>10719.01090909091</v>
      </c>
    </row>
    <row r="67" spans="1:44" ht="15">
      <c r="A67" s="1"/>
      <c r="B67" s="1"/>
      <c r="C67" s="1"/>
      <c r="D67" s="98" t="s">
        <v>96</v>
      </c>
      <c r="E67" s="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65"/>
      <c r="W67" s="38"/>
      <c r="X67" s="38"/>
      <c r="Y67" s="38"/>
      <c r="Z67" s="38"/>
      <c r="AA67" s="130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65">
        <f t="shared" si="22"/>
        <v>0</v>
      </c>
      <c r="AO67" s="65">
        <f t="shared" si="23"/>
        <v>0</v>
      </c>
      <c r="AP67" s="119">
        <f t="shared" si="24"/>
        <v>0</v>
      </c>
      <c r="AQ67" s="97">
        <v>5088</v>
      </c>
      <c r="AR67" s="111">
        <f t="shared" si="25"/>
        <v>5088</v>
      </c>
    </row>
    <row r="68" spans="1:44" ht="15">
      <c r="A68" s="1"/>
      <c r="B68" s="1"/>
      <c r="C68" s="1"/>
      <c r="D68" s="98" t="s">
        <v>97</v>
      </c>
      <c r="E68" s="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65"/>
      <c r="W68" s="38"/>
      <c r="X68" s="38"/>
      <c r="Y68" s="38"/>
      <c r="Z68" s="38"/>
      <c r="AA68" s="130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65">
        <f t="shared" si="22"/>
        <v>0</v>
      </c>
      <c r="AO68" s="65">
        <f t="shared" si="23"/>
        <v>0</v>
      </c>
      <c r="AP68" s="119">
        <f t="shared" si="24"/>
        <v>0</v>
      </c>
      <c r="AQ68" s="97">
        <v>1140</v>
      </c>
      <c r="AR68" s="111">
        <f t="shared" si="25"/>
        <v>1140</v>
      </c>
    </row>
    <row r="69" spans="1:44" ht="15">
      <c r="A69" s="1"/>
      <c r="B69" s="1"/>
      <c r="C69" s="1"/>
      <c r="D69" s="98" t="s">
        <v>98</v>
      </c>
      <c r="E69" s="1"/>
      <c r="F69" s="38">
        <v>220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1389.59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65">
        <f aca="true" t="shared" si="26" ref="V69:V74">ROUND(SUM(Q69:U69),5)</f>
        <v>0</v>
      </c>
      <c r="W69" s="38">
        <v>0</v>
      </c>
      <c r="X69" s="38">
        <v>0</v>
      </c>
      <c r="Y69" s="38">
        <v>0</v>
      </c>
      <c r="Z69" s="38">
        <v>0</v>
      </c>
      <c r="AA69" s="130">
        <f aca="true" t="shared" si="27" ref="AA69:AA74">ROUND(SUM(W69:Z69),5)</f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65">
        <f t="shared" si="22"/>
        <v>1609.59</v>
      </c>
      <c r="AO69" s="65">
        <f t="shared" si="23"/>
        <v>146.32636363636362</v>
      </c>
      <c r="AP69" s="119">
        <f t="shared" si="24"/>
        <v>1755.9163636363635</v>
      </c>
      <c r="AQ69" s="97">
        <v>0</v>
      </c>
      <c r="AR69" s="111">
        <f t="shared" si="25"/>
        <v>-1755.9163636363635</v>
      </c>
    </row>
    <row r="70" spans="1:44" ht="15">
      <c r="A70" s="1"/>
      <c r="B70" s="1"/>
      <c r="C70" s="1"/>
      <c r="D70" s="98" t="s">
        <v>99</v>
      </c>
      <c r="E70" s="1"/>
      <c r="F70" s="38">
        <v>623.7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643.03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65">
        <f t="shared" si="26"/>
        <v>0</v>
      </c>
      <c r="W70" s="38">
        <v>0</v>
      </c>
      <c r="X70" s="38">
        <v>0</v>
      </c>
      <c r="Y70" s="38">
        <v>0</v>
      </c>
      <c r="Z70" s="38">
        <v>0</v>
      </c>
      <c r="AA70" s="130">
        <f t="shared" si="27"/>
        <v>0</v>
      </c>
      <c r="AB70" s="38">
        <v>0</v>
      </c>
      <c r="AC70" s="38">
        <v>0</v>
      </c>
      <c r="AD70" s="38">
        <v>331.08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65">
        <f t="shared" si="22"/>
        <v>1597.81</v>
      </c>
      <c r="AO70" s="65">
        <f t="shared" si="23"/>
        <v>145.25545454545454</v>
      </c>
      <c r="AP70" s="119">
        <f t="shared" si="24"/>
        <v>1743.0654545454545</v>
      </c>
      <c r="AQ70" s="97">
        <v>1212</v>
      </c>
      <c r="AR70" s="111">
        <f t="shared" si="25"/>
        <v>-531.0654545454545</v>
      </c>
    </row>
    <row r="71" spans="1:44" ht="15">
      <c r="A71" s="1"/>
      <c r="B71" s="1"/>
      <c r="C71" s="1"/>
      <c r="D71" s="98" t="s">
        <v>100</v>
      </c>
      <c r="E71" s="1"/>
      <c r="F71" s="38">
        <v>8400.05</v>
      </c>
      <c r="G71" s="38">
        <v>514.31</v>
      </c>
      <c r="H71" s="38">
        <v>37.17</v>
      </c>
      <c r="I71" s="38">
        <v>0</v>
      </c>
      <c r="J71" s="38">
        <v>0</v>
      </c>
      <c r="K71" s="38">
        <v>107.99</v>
      </c>
      <c r="L71" s="38">
        <v>65.12</v>
      </c>
      <c r="M71" s="38">
        <v>0</v>
      </c>
      <c r="N71" s="38">
        <v>0</v>
      </c>
      <c r="O71" s="38">
        <v>388.08</v>
      </c>
      <c r="P71" s="38">
        <v>3234.54</v>
      </c>
      <c r="Q71" s="38">
        <v>0</v>
      </c>
      <c r="R71" s="38">
        <v>23.96</v>
      </c>
      <c r="S71" s="38">
        <v>0</v>
      </c>
      <c r="T71" s="38">
        <v>0</v>
      </c>
      <c r="U71" s="38">
        <v>742.59</v>
      </c>
      <c r="V71" s="65">
        <f t="shared" si="26"/>
        <v>766.55</v>
      </c>
      <c r="W71" s="38">
        <v>114.72</v>
      </c>
      <c r="X71" s="38">
        <v>0</v>
      </c>
      <c r="Y71" s="38">
        <v>125.3</v>
      </c>
      <c r="Z71" s="38">
        <v>0</v>
      </c>
      <c r="AA71" s="130">
        <f t="shared" si="27"/>
        <v>240.02</v>
      </c>
      <c r="AB71" s="38">
        <v>68.63</v>
      </c>
      <c r="AC71" s="38">
        <v>103.08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9225.79</v>
      </c>
      <c r="AK71" s="38">
        <v>0</v>
      </c>
      <c r="AL71" s="38">
        <v>4271.31</v>
      </c>
      <c r="AM71" s="38">
        <v>0</v>
      </c>
      <c r="AN71" s="65">
        <f t="shared" si="22"/>
        <v>27422.64</v>
      </c>
      <c r="AO71" s="65">
        <f t="shared" si="23"/>
        <v>2492.9672727272728</v>
      </c>
      <c r="AP71" s="119">
        <f t="shared" si="24"/>
        <v>29915.607272727273</v>
      </c>
      <c r="AQ71" s="97">
        <v>32500</v>
      </c>
      <c r="AR71" s="111">
        <f t="shared" si="25"/>
        <v>2584.392727272727</v>
      </c>
    </row>
    <row r="72" spans="1:44" ht="15">
      <c r="A72" s="1"/>
      <c r="B72" s="1"/>
      <c r="C72" s="1"/>
      <c r="D72" s="98" t="s">
        <v>178</v>
      </c>
      <c r="E72" s="1"/>
      <c r="F72" s="38">
        <v>1261.9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65">
        <f t="shared" si="26"/>
        <v>0</v>
      </c>
      <c r="W72" s="38">
        <v>0</v>
      </c>
      <c r="X72" s="38">
        <v>0</v>
      </c>
      <c r="Y72" s="38">
        <v>0</v>
      </c>
      <c r="Z72" s="38">
        <v>0</v>
      </c>
      <c r="AA72" s="130">
        <f t="shared" si="27"/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65">
        <f t="shared" si="22"/>
        <v>1261.9</v>
      </c>
      <c r="AO72" s="65">
        <f t="shared" si="23"/>
        <v>114.71818181818183</v>
      </c>
      <c r="AP72" s="119">
        <f t="shared" si="24"/>
        <v>1376.618181818182</v>
      </c>
      <c r="AQ72" s="97">
        <v>1560</v>
      </c>
      <c r="AR72" s="111">
        <f t="shared" si="25"/>
        <v>183.38181818181806</v>
      </c>
    </row>
    <row r="73" spans="1:44" ht="15">
      <c r="A73" s="1"/>
      <c r="B73" s="1"/>
      <c r="C73" s="1"/>
      <c r="D73" s="98" t="s">
        <v>179</v>
      </c>
      <c r="E73" s="1"/>
      <c r="F73" s="38">
        <v>4250.94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65">
        <f t="shared" si="26"/>
        <v>0</v>
      </c>
      <c r="W73" s="38">
        <v>0</v>
      </c>
      <c r="X73" s="38">
        <v>0</v>
      </c>
      <c r="Y73" s="38">
        <v>0</v>
      </c>
      <c r="Z73" s="38">
        <v>0</v>
      </c>
      <c r="AA73" s="130">
        <f t="shared" si="27"/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65">
        <f t="shared" si="22"/>
        <v>4250.94</v>
      </c>
      <c r="AO73" s="65">
        <f t="shared" si="23"/>
        <v>386.4490909090909</v>
      </c>
      <c r="AP73" s="119">
        <f t="shared" si="24"/>
        <v>4637.389090909091</v>
      </c>
      <c r="AQ73" s="97">
        <v>6000</v>
      </c>
      <c r="AR73" s="111">
        <f t="shared" si="25"/>
        <v>1362.6109090909094</v>
      </c>
    </row>
    <row r="74" spans="1:44" ht="15">
      <c r="A74" s="1"/>
      <c r="B74" s="1"/>
      <c r="C74" s="1"/>
      <c r="D74" s="98" t="s">
        <v>103</v>
      </c>
      <c r="E74" s="1"/>
      <c r="F74" s="38">
        <v>12185.59</v>
      </c>
      <c r="G74" s="38">
        <v>0</v>
      </c>
      <c r="H74" s="38">
        <v>620.98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22453.78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65">
        <f t="shared" si="26"/>
        <v>0</v>
      </c>
      <c r="W74" s="38">
        <v>725.27</v>
      </c>
      <c r="X74" s="38">
        <v>0</v>
      </c>
      <c r="Y74" s="38">
        <v>1883.8</v>
      </c>
      <c r="Z74" s="38">
        <v>4794.86</v>
      </c>
      <c r="AA74" s="130">
        <f t="shared" si="27"/>
        <v>7403.93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6452.8</v>
      </c>
      <c r="AK74" s="38">
        <v>0</v>
      </c>
      <c r="AL74" s="38">
        <v>2514.57</v>
      </c>
      <c r="AM74" s="38">
        <v>0</v>
      </c>
      <c r="AN74" s="65">
        <f t="shared" si="22"/>
        <v>51631.65</v>
      </c>
      <c r="AO74" s="65">
        <f t="shared" si="23"/>
        <v>4693.786363636364</v>
      </c>
      <c r="AP74" s="119">
        <f t="shared" si="24"/>
        <v>56325.43636363636</v>
      </c>
      <c r="AQ74" s="97">
        <v>104684</v>
      </c>
      <c r="AR74" s="111">
        <f t="shared" si="25"/>
        <v>48358.56363636364</v>
      </c>
    </row>
    <row r="75" spans="1:44" ht="15">
      <c r="A75" s="1"/>
      <c r="B75" s="1"/>
      <c r="C75" s="1"/>
      <c r="D75" s="98" t="s">
        <v>170</v>
      </c>
      <c r="E75" s="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5"/>
      <c r="W75" s="38"/>
      <c r="X75" s="38"/>
      <c r="Y75" s="38"/>
      <c r="Z75" s="38"/>
      <c r="AA75" s="130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65">
        <f t="shared" si="22"/>
        <v>0</v>
      </c>
      <c r="AO75" s="65">
        <f t="shared" si="23"/>
        <v>0</v>
      </c>
      <c r="AP75" s="119">
        <f t="shared" si="24"/>
        <v>0</v>
      </c>
      <c r="AQ75" s="97">
        <v>0</v>
      </c>
      <c r="AR75" s="111">
        <f t="shared" si="25"/>
        <v>0</v>
      </c>
    </row>
    <row r="76" spans="1:44" ht="15">
      <c r="A76" s="1"/>
      <c r="B76" s="1"/>
      <c r="C76" s="1"/>
      <c r="D76" s="98" t="s">
        <v>175</v>
      </c>
      <c r="E76" s="98" t="s">
        <v>187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  <c r="U76" s="88">
        <v>0</v>
      </c>
      <c r="V76" s="106">
        <f>ROUND(SUM(Q76:U76),5)</f>
        <v>0</v>
      </c>
      <c r="W76" s="88">
        <v>0</v>
      </c>
      <c r="X76" s="88">
        <v>0</v>
      </c>
      <c r="Y76" s="88">
        <v>0</v>
      </c>
      <c r="Z76" s="88">
        <v>0</v>
      </c>
      <c r="AA76" s="132">
        <f>ROUND(SUM(W76:Z76),5)</f>
        <v>0</v>
      </c>
      <c r="AB76" s="88">
        <v>0</v>
      </c>
      <c r="AC76" s="88">
        <v>0</v>
      </c>
      <c r="AD76" s="88">
        <v>0</v>
      </c>
      <c r="AE76" s="88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1858.99</v>
      </c>
      <c r="AK76" s="88">
        <v>0</v>
      </c>
      <c r="AL76" s="88">
        <v>0</v>
      </c>
      <c r="AM76" s="88">
        <v>0</v>
      </c>
      <c r="AN76" s="65">
        <f t="shared" si="22"/>
        <v>1858.99</v>
      </c>
      <c r="AO76" s="65">
        <f t="shared" si="23"/>
        <v>168.9990909090909</v>
      </c>
      <c r="AP76" s="119">
        <f t="shared" si="24"/>
        <v>2027.989090909091</v>
      </c>
      <c r="AQ76" s="97"/>
      <c r="AR76" s="111">
        <f t="shared" si="25"/>
        <v>-2027.989090909091</v>
      </c>
    </row>
    <row r="77" spans="1:44" ht="15">
      <c r="A77" s="1"/>
      <c r="B77" s="1"/>
      <c r="C77" s="1"/>
      <c r="D77" s="98" t="s">
        <v>176</v>
      </c>
      <c r="E77" s="98" t="s">
        <v>188</v>
      </c>
      <c r="F77" s="88">
        <v>958.11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10470.51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106">
        <f>ROUND(SUM(Q77:U77),5)</f>
        <v>0</v>
      </c>
      <c r="W77" s="88">
        <v>0</v>
      </c>
      <c r="X77" s="88">
        <v>0</v>
      </c>
      <c r="Y77" s="88">
        <v>0</v>
      </c>
      <c r="Z77" s="88">
        <v>0</v>
      </c>
      <c r="AA77" s="132">
        <f>ROUND(SUM(W77:Z77),5)</f>
        <v>0</v>
      </c>
      <c r="AB77" s="88">
        <v>0</v>
      </c>
      <c r="AC77" s="88">
        <v>0</v>
      </c>
      <c r="AD77" s="88">
        <v>0</v>
      </c>
      <c r="AE77" s="88">
        <v>0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65">
        <f t="shared" si="22"/>
        <v>11428.62</v>
      </c>
      <c r="AO77" s="65">
        <f aca="true" t="shared" si="28" ref="AO77:AO107">AN77/11</f>
        <v>1038.9654545454546</v>
      </c>
      <c r="AP77" s="119">
        <f t="shared" si="24"/>
        <v>12467.585454545455</v>
      </c>
      <c r="AQ77" s="97"/>
      <c r="AR77" s="111">
        <f t="shared" si="25"/>
        <v>-12467.585454545455</v>
      </c>
    </row>
    <row r="78" spans="1:44" ht="15">
      <c r="A78" s="1"/>
      <c r="B78" s="1"/>
      <c r="C78" s="1"/>
      <c r="D78" s="98" t="s">
        <v>177</v>
      </c>
      <c r="E78" s="98" t="s">
        <v>177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106"/>
      <c r="W78" s="88"/>
      <c r="X78" s="88"/>
      <c r="Y78" s="88"/>
      <c r="Z78" s="88"/>
      <c r="AA78" s="132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65">
        <f t="shared" si="22"/>
        <v>0</v>
      </c>
      <c r="AO78" s="65">
        <f t="shared" si="28"/>
        <v>0</v>
      </c>
      <c r="AP78" s="119">
        <f t="shared" si="24"/>
        <v>0</v>
      </c>
      <c r="AQ78" s="97"/>
      <c r="AR78" s="111">
        <f t="shared" si="25"/>
        <v>0</v>
      </c>
    </row>
    <row r="79" spans="1:44" ht="15">
      <c r="A79" s="1"/>
      <c r="B79" s="1"/>
      <c r="C79" s="1"/>
      <c r="D79" s="98" t="s">
        <v>104</v>
      </c>
      <c r="E79" s="1"/>
      <c r="F79" s="38">
        <v>111.43</v>
      </c>
      <c r="G79" s="38">
        <v>313.5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5933.61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65">
        <f>ROUND(SUM(Q79:U79),5)</f>
        <v>0</v>
      </c>
      <c r="W79" s="38">
        <v>0</v>
      </c>
      <c r="X79" s="38">
        <v>0</v>
      </c>
      <c r="Y79" s="38">
        <v>0</v>
      </c>
      <c r="Z79" s="38">
        <v>0</v>
      </c>
      <c r="AA79" s="130">
        <f>ROUND(SUM(W79:Z79),5)</f>
        <v>0</v>
      </c>
      <c r="AB79" s="38">
        <v>0</v>
      </c>
      <c r="AC79" s="38">
        <v>0</v>
      </c>
      <c r="AD79" s="38">
        <v>3173.13</v>
      </c>
      <c r="AE79" s="38">
        <v>0</v>
      </c>
      <c r="AF79" s="38">
        <v>0</v>
      </c>
      <c r="AG79" s="38">
        <v>0</v>
      </c>
      <c r="AH79" s="38">
        <v>0</v>
      </c>
      <c r="AI79" s="38">
        <v>20.09</v>
      </c>
      <c r="AJ79" s="38">
        <v>0</v>
      </c>
      <c r="AK79" s="38">
        <v>0</v>
      </c>
      <c r="AL79" s="38">
        <v>520.08</v>
      </c>
      <c r="AM79" s="38">
        <v>0</v>
      </c>
      <c r="AN79" s="65">
        <f t="shared" si="22"/>
        <v>10071.84</v>
      </c>
      <c r="AO79" s="65">
        <f t="shared" si="28"/>
        <v>915.6218181818182</v>
      </c>
      <c r="AP79" s="119">
        <f t="shared" si="24"/>
        <v>10987.461818181819</v>
      </c>
      <c r="AQ79" s="97">
        <v>11470</v>
      </c>
      <c r="AR79" s="111">
        <f t="shared" si="25"/>
        <v>482.53818181818133</v>
      </c>
    </row>
    <row r="80" spans="1:44" ht="15">
      <c r="A80" s="1"/>
      <c r="B80" s="1"/>
      <c r="C80" s="1"/>
      <c r="D80" s="98" t="s">
        <v>105</v>
      </c>
      <c r="E80" s="1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65"/>
      <c r="W80" s="38"/>
      <c r="X80" s="38"/>
      <c r="Y80" s="38"/>
      <c r="Z80" s="38"/>
      <c r="AA80" s="130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65">
        <f t="shared" si="22"/>
        <v>0</v>
      </c>
      <c r="AO80" s="65">
        <f t="shared" si="28"/>
        <v>0</v>
      </c>
      <c r="AP80" s="119">
        <f t="shared" si="24"/>
        <v>0</v>
      </c>
      <c r="AQ80" s="97">
        <v>1200</v>
      </c>
      <c r="AR80" s="111">
        <f t="shared" si="25"/>
        <v>1200</v>
      </c>
    </row>
    <row r="81" spans="1:44" ht="15">
      <c r="A81" s="1"/>
      <c r="B81" s="1"/>
      <c r="C81" s="1"/>
      <c r="D81" s="98" t="s">
        <v>106</v>
      </c>
      <c r="E81" s="1"/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1168.62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65">
        <f>ROUND(SUM(Q81:U81),5)</f>
        <v>0</v>
      </c>
      <c r="W81" s="38">
        <v>0</v>
      </c>
      <c r="X81" s="38">
        <v>0</v>
      </c>
      <c r="Y81" s="38">
        <v>0</v>
      </c>
      <c r="Z81" s="38">
        <v>0</v>
      </c>
      <c r="AA81" s="130">
        <f>ROUND(SUM(W81:Z81),5)</f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65">
        <f t="shared" si="22"/>
        <v>1168.62</v>
      </c>
      <c r="AO81" s="65">
        <f t="shared" si="28"/>
        <v>106.23818181818181</v>
      </c>
      <c r="AP81" s="119">
        <f t="shared" si="24"/>
        <v>1274.8581818181817</v>
      </c>
      <c r="AQ81" s="97">
        <v>1200</v>
      </c>
      <c r="AR81" s="111">
        <f t="shared" si="25"/>
        <v>-74.85818181818172</v>
      </c>
    </row>
    <row r="82" spans="1:44" ht="15">
      <c r="A82" s="1"/>
      <c r="B82" s="1"/>
      <c r="C82" s="1"/>
      <c r="D82" s="98" t="s">
        <v>107</v>
      </c>
      <c r="E82" s="1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65"/>
      <c r="W82" s="38"/>
      <c r="X82" s="38"/>
      <c r="Y82" s="38"/>
      <c r="Z82" s="38"/>
      <c r="AA82" s="130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65">
        <f t="shared" si="22"/>
        <v>0</v>
      </c>
      <c r="AO82" s="65">
        <f t="shared" si="28"/>
        <v>0</v>
      </c>
      <c r="AP82" s="119">
        <f t="shared" si="24"/>
        <v>0</v>
      </c>
      <c r="AQ82" s="97">
        <v>1200</v>
      </c>
      <c r="AR82" s="111">
        <f t="shared" si="25"/>
        <v>1200</v>
      </c>
    </row>
    <row r="83" spans="1:44" ht="15">
      <c r="A83" s="1"/>
      <c r="B83" s="1"/>
      <c r="C83" s="1"/>
      <c r="D83" s="98" t="s">
        <v>108</v>
      </c>
      <c r="E83" s="1"/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110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65">
        <f>ROUND(SUM(Q83:U83),5)</f>
        <v>0</v>
      </c>
      <c r="W83" s="38">
        <v>0</v>
      </c>
      <c r="X83" s="38">
        <v>0</v>
      </c>
      <c r="Y83" s="38">
        <v>0</v>
      </c>
      <c r="Z83" s="38">
        <v>0</v>
      </c>
      <c r="AA83" s="130">
        <f>ROUND(SUM(W83:Z83),5)</f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65">
        <f t="shared" si="22"/>
        <v>110</v>
      </c>
      <c r="AO83" s="65">
        <f t="shared" si="28"/>
        <v>10</v>
      </c>
      <c r="AP83" s="119">
        <f t="shared" si="24"/>
        <v>120</v>
      </c>
      <c r="AQ83" s="97">
        <v>1200</v>
      </c>
      <c r="AR83" s="111">
        <f t="shared" si="25"/>
        <v>1080</v>
      </c>
    </row>
    <row r="84" spans="1:44" ht="15">
      <c r="A84" s="1"/>
      <c r="B84" s="1"/>
      <c r="C84" s="1"/>
      <c r="D84" s="98" t="s">
        <v>109</v>
      </c>
      <c r="E84" s="1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65">
        <f>ROUND(SUM(Q84:U84),5)</f>
        <v>0</v>
      </c>
      <c r="W84" s="38">
        <v>0</v>
      </c>
      <c r="X84" s="38">
        <v>0</v>
      </c>
      <c r="Y84" s="38">
        <v>13.88</v>
      </c>
      <c r="Z84" s="38">
        <v>0</v>
      </c>
      <c r="AA84" s="130">
        <f>ROUND(SUM(W84:Z84),5)</f>
        <v>13.88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65">
        <f t="shared" si="22"/>
        <v>13.88</v>
      </c>
      <c r="AO84" s="65">
        <f t="shared" si="28"/>
        <v>1.261818181818182</v>
      </c>
      <c r="AP84" s="119">
        <f t="shared" si="24"/>
        <v>15.141818181818183</v>
      </c>
      <c r="AQ84" s="97">
        <v>1200</v>
      </c>
      <c r="AR84" s="111">
        <f t="shared" si="25"/>
        <v>1184.8581818181817</v>
      </c>
    </row>
    <row r="85" spans="1:44" ht="15">
      <c r="A85" s="1"/>
      <c r="B85" s="1"/>
      <c r="C85" s="1"/>
      <c r="D85" s="98" t="s">
        <v>110</v>
      </c>
      <c r="E85" s="1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65"/>
      <c r="W85" s="38"/>
      <c r="X85" s="38"/>
      <c r="Y85" s="38"/>
      <c r="Z85" s="38"/>
      <c r="AA85" s="130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65">
        <f t="shared" si="22"/>
        <v>0</v>
      </c>
      <c r="AO85" s="65">
        <f t="shared" si="28"/>
        <v>0</v>
      </c>
      <c r="AP85" s="119">
        <f t="shared" si="24"/>
        <v>0</v>
      </c>
      <c r="AQ85" s="97">
        <v>444</v>
      </c>
      <c r="AR85" s="111">
        <f t="shared" si="25"/>
        <v>444</v>
      </c>
    </row>
    <row r="86" spans="1:44" ht="15">
      <c r="A86" s="1"/>
      <c r="B86" s="1"/>
      <c r="C86" s="1"/>
      <c r="D86" s="98" t="s">
        <v>111</v>
      </c>
      <c r="E86" s="1"/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218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65">
        <f>ROUND(SUM(Q86:U86),5)</f>
        <v>0</v>
      </c>
      <c r="W86" s="38">
        <v>0</v>
      </c>
      <c r="X86" s="38">
        <v>0</v>
      </c>
      <c r="Y86" s="38">
        <v>0</v>
      </c>
      <c r="Z86" s="38">
        <v>0</v>
      </c>
      <c r="AA86" s="130">
        <f>ROUND(SUM(W86:Z86),5)</f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65">
        <f t="shared" si="22"/>
        <v>218</v>
      </c>
      <c r="AO86" s="65">
        <f t="shared" si="28"/>
        <v>19.818181818181817</v>
      </c>
      <c r="AP86" s="119">
        <f t="shared" si="24"/>
        <v>237.8181818181818</v>
      </c>
      <c r="AQ86" s="97">
        <v>0</v>
      </c>
      <c r="AR86" s="111">
        <f t="shared" si="25"/>
        <v>-237.8181818181818</v>
      </c>
    </row>
    <row r="87" spans="1:44" ht="15">
      <c r="A87" s="1"/>
      <c r="B87" s="1"/>
      <c r="C87" s="1"/>
      <c r="D87" s="98" t="s">
        <v>112</v>
      </c>
      <c r="E87" s="1"/>
      <c r="F87" s="38">
        <v>811.59</v>
      </c>
      <c r="G87" s="38">
        <v>80.98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6609.72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65">
        <f>ROUND(SUM(Q87:U87),5)</f>
        <v>0</v>
      </c>
      <c r="W87" s="38">
        <v>0</v>
      </c>
      <c r="X87" s="38">
        <v>0</v>
      </c>
      <c r="Y87" s="38">
        <v>163.97</v>
      </c>
      <c r="Z87" s="38">
        <v>72.52</v>
      </c>
      <c r="AA87" s="130">
        <f>ROUND(SUM(W87:Z87),5)</f>
        <v>236.49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82.72</v>
      </c>
      <c r="AK87" s="38">
        <v>0</v>
      </c>
      <c r="AL87" s="38">
        <v>1450</v>
      </c>
      <c r="AM87" s="38">
        <v>0</v>
      </c>
      <c r="AN87" s="65">
        <f t="shared" si="22"/>
        <v>9271.5</v>
      </c>
      <c r="AO87" s="65">
        <f t="shared" si="28"/>
        <v>842.8636363636364</v>
      </c>
      <c r="AP87" s="119">
        <f t="shared" si="24"/>
        <v>10114.363636363636</v>
      </c>
      <c r="AQ87" s="97">
        <v>14860</v>
      </c>
      <c r="AR87" s="111">
        <f t="shared" si="25"/>
        <v>4745.636363636364</v>
      </c>
    </row>
    <row r="88" spans="1:44" ht="15">
      <c r="A88" s="1"/>
      <c r="B88" s="1"/>
      <c r="C88" s="1"/>
      <c r="D88" s="98" t="s">
        <v>113</v>
      </c>
      <c r="E88" s="1"/>
      <c r="F88" s="38">
        <v>15329.09</v>
      </c>
      <c r="G88" s="38">
        <v>323.74</v>
      </c>
      <c r="H88" s="38">
        <v>141.27</v>
      </c>
      <c r="I88" s="38">
        <v>0</v>
      </c>
      <c r="J88" s="38">
        <v>0</v>
      </c>
      <c r="K88" s="38">
        <v>147.15</v>
      </c>
      <c r="L88" s="38">
        <v>0</v>
      </c>
      <c r="M88" s="38">
        <v>0</v>
      </c>
      <c r="N88" s="38">
        <v>7556.98</v>
      </c>
      <c r="O88" s="38">
        <v>0</v>
      </c>
      <c r="P88" s="38">
        <v>18218.3</v>
      </c>
      <c r="Q88" s="38">
        <v>0</v>
      </c>
      <c r="R88" s="38">
        <v>0</v>
      </c>
      <c r="S88" s="38">
        <v>0</v>
      </c>
      <c r="T88" s="38">
        <v>0</v>
      </c>
      <c r="U88" s="38">
        <v>293.47</v>
      </c>
      <c r="V88" s="65">
        <f>ROUND(SUM(Q88:U88),5)</f>
        <v>293.47</v>
      </c>
      <c r="W88" s="38">
        <v>0</v>
      </c>
      <c r="X88" s="38">
        <v>0</v>
      </c>
      <c r="Y88" s="38">
        <v>25.16</v>
      </c>
      <c r="Z88" s="38">
        <v>0</v>
      </c>
      <c r="AA88" s="130">
        <f>ROUND(SUM(W88:Z88),5)</f>
        <v>25.16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434.89</v>
      </c>
      <c r="AJ88" s="38">
        <v>3009.72</v>
      </c>
      <c r="AK88" s="38">
        <v>0</v>
      </c>
      <c r="AL88" s="38">
        <v>4480.63</v>
      </c>
      <c r="AM88" s="38">
        <v>0</v>
      </c>
      <c r="AN88" s="65">
        <f t="shared" si="22"/>
        <v>49960.4</v>
      </c>
      <c r="AO88" s="65">
        <f t="shared" si="28"/>
        <v>4541.854545454546</v>
      </c>
      <c r="AP88" s="119">
        <f t="shared" si="24"/>
        <v>54502.25454545455</v>
      </c>
      <c r="AQ88" s="97">
        <v>68140</v>
      </c>
      <c r="AR88" s="111">
        <f t="shared" si="25"/>
        <v>13637.745454545453</v>
      </c>
    </row>
    <row r="89" spans="1:44" ht="15">
      <c r="A89" s="1"/>
      <c r="B89" s="1"/>
      <c r="C89" s="1"/>
      <c r="D89" s="98" t="s">
        <v>114</v>
      </c>
      <c r="E89" s="1"/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2200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65">
        <f>ROUND(SUM(Q89:U89),5)</f>
        <v>0</v>
      </c>
      <c r="W89" s="38">
        <v>2613.6</v>
      </c>
      <c r="X89" s="38">
        <v>2700</v>
      </c>
      <c r="Y89" s="38">
        <v>2300</v>
      </c>
      <c r="Z89" s="38">
        <v>0</v>
      </c>
      <c r="AA89" s="130">
        <f>ROUND(SUM(W89:Z89),5)</f>
        <v>7613.6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65">
        <f t="shared" si="22"/>
        <v>9813.6</v>
      </c>
      <c r="AO89" s="65">
        <f t="shared" si="28"/>
        <v>892.1454545454545</v>
      </c>
      <c r="AP89" s="119">
        <f t="shared" si="24"/>
        <v>10705.745454545455</v>
      </c>
      <c r="AQ89" s="97">
        <v>16781</v>
      </c>
      <c r="AR89" s="111">
        <f t="shared" si="25"/>
        <v>6075.254545454545</v>
      </c>
    </row>
    <row r="90" spans="1:44" ht="15">
      <c r="A90" s="1"/>
      <c r="B90" s="1"/>
      <c r="C90" s="1"/>
      <c r="D90" s="98" t="s">
        <v>115</v>
      </c>
      <c r="E90" s="1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65"/>
      <c r="W90" s="38"/>
      <c r="X90" s="38"/>
      <c r="Y90" s="38"/>
      <c r="Z90" s="38"/>
      <c r="AA90" s="130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65">
        <f t="shared" si="22"/>
        <v>0</v>
      </c>
      <c r="AO90" s="65">
        <f t="shared" si="28"/>
        <v>0</v>
      </c>
      <c r="AP90" s="119">
        <f t="shared" si="24"/>
        <v>0</v>
      </c>
      <c r="AQ90" s="97">
        <v>26448</v>
      </c>
      <c r="AR90" s="111">
        <f t="shared" si="25"/>
        <v>26448</v>
      </c>
    </row>
    <row r="91" spans="1:44" ht="15">
      <c r="A91" s="1"/>
      <c r="B91" s="1"/>
      <c r="C91" s="1"/>
      <c r="D91" s="98" t="s">
        <v>116</v>
      </c>
      <c r="E91" s="1"/>
      <c r="F91" s="38">
        <v>312.86</v>
      </c>
      <c r="G91" s="38">
        <v>0</v>
      </c>
      <c r="H91" s="38">
        <v>450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65">
        <f>ROUND(SUM(Q91:U91),5)</f>
        <v>0</v>
      </c>
      <c r="W91" s="38">
        <v>0</v>
      </c>
      <c r="X91" s="38">
        <v>0</v>
      </c>
      <c r="Y91" s="38">
        <v>0</v>
      </c>
      <c r="Z91" s="38">
        <v>0</v>
      </c>
      <c r="AA91" s="130">
        <f>ROUND(SUM(W91:Z91),5)</f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600</v>
      </c>
      <c r="AJ91" s="38">
        <v>0</v>
      </c>
      <c r="AK91" s="38">
        <v>0</v>
      </c>
      <c r="AL91" s="38">
        <v>50</v>
      </c>
      <c r="AM91" s="38">
        <v>0</v>
      </c>
      <c r="AN91" s="65">
        <f t="shared" si="22"/>
        <v>1412.86</v>
      </c>
      <c r="AO91" s="65">
        <f t="shared" si="28"/>
        <v>128.44181818181818</v>
      </c>
      <c r="AP91" s="119">
        <f t="shared" si="24"/>
        <v>1541.3018181818181</v>
      </c>
      <c r="AQ91" s="97">
        <v>5720</v>
      </c>
      <c r="AR91" s="111">
        <f t="shared" si="25"/>
        <v>4178.698181818182</v>
      </c>
    </row>
    <row r="92" spans="1:44" ht="15">
      <c r="A92" s="1"/>
      <c r="B92" s="1"/>
      <c r="C92" s="1"/>
      <c r="D92" s="98" t="s">
        <v>117</v>
      </c>
      <c r="E92" s="1"/>
      <c r="F92" s="38">
        <v>132.45</v>
      </c>
      <c r="G92" s="38">
        <v>0</v>
      </c>
      <c r="H92" s="38">
        <v>0</v>
      </c>
      <c r="I92" s="38">
        <v>0</v>
      </c>
      <c r="J92" s="38">
        <v>0</v>
      </c>
      <c r="K92" s="38">
        <v>-195.3</v>
      </c>
      <c r="L92" s="38">
        <v>0</v>
      </c>
      <c r="M92" s="38">
        <v>-96.85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65">
        <f>ROUND(SUM(Q92:U92),5)</f>
        <v>0</v>
      </c>
      <c r="W92" s="38">
        <v>0</v>
      </c>
      <c r="X92" s="38">
        <v>0</v>
      </c>
      <c r="Y92" s="38">
        <v>0</v>
      </c>
      <c r="Z92" s="38">
        <v>0</v>
      </c>
      <c r="AA92" s="130">
        <f>ROUND(SUM(W92:Z92),5)</f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1499</v>
      </c>
      <c r="AJ92" s="38">
        <v>59.97</v>
      </c>
      <c r="AK92" s="38">
        <v>0</v>
      </c>
      <c r="AL92" s="38">
        <v>300</v>
      </c>
      <c r="AM92" s="38">
        <v>0</v>
      </c>
      <c r="AN92" s="65">
        <f t="shared" si="22"/>
        <v>1699.27</v>
      </c>
      <c r="AO92" s="65">
        <f t="shared" si="28"/>
        <v>154.4790909090909</v>
      </c>
      <c r="AP92" s="119">
        <f t="shared" si="24"/>
        <v>1853.749090909091</v>
      </c>
      <c r="AQ92" s="97">
        <v>2940</v>
      </c>
      <c r="AR92" s="111">
        <f t="shared" si="25"/>
        <v>1086.250909090909</v>
      </c>
    </row>
    <row r="93" spans="1:44" ht="15">
      <c r="A93" s="1"/>
      <c r="B93" s="1"/>
      <c r="C93" s="1"/>
      <c r="D93" s="98" t="s">
        <v>118</v>
      </c>
      <c r="E93" s="1"/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8900</v>
      </c>
      <c r="Q93" s="38">
        <v>1800</v>
      </c>
      <c r="R93" s="38">
        <v>3700</v>
      </c>
      <c r="S93" s="38">
        <v>0</v>
      </c>
      <c r="T93" s="38">
        <v>1850</v>
      </c>
      <c r="U93" s="38">
        <v>7350</v>
      </c>
      <c r="V93" s="65">
        <f>ROUND(SUM(Q93:U93),5)</f>
        <v>14700</v>
      </c>
      <c r="W93" s="38">
        <v>0</v>
      </c>
      <c r="X93" s="38">
        <v>0</v>
      </c>
      <c r="Y93" s="38">
        <v>0</v>
      </c>
      <c r="Z93" s="38">
        <v>0</v>
      </c>
      <c r="AA93" s="130">
        <f>ROUND(SUM(W93:Z93),5)</f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10000</v>
      </c>
      <c r="AK93" s="38">
        <v>0</v>
      </c>
      <c r="AL93" s="38">
        <v>85</v>
      </c>
      <c r="AM93" s="38">
        <v>0</v>
      </c>
      <c r="AN93" s="65">
        <f t="shared" si="22"/>
        <v>33685</v>
      </c>
      <c r="AO93" s="65">
        <f t="shared" si="28"/>
        <v>3062.2727272727275</v>
      </c>
      <c r="AP93" s="119">
        <f t="shared" si="24"/>
        <v>36747.27272727273</v>
      </c>
      <c r="AQ93" s="97">
        <v>121100</v>
      </c>
      <c r="AR93" s="111">
        <f t="shared" si="25"/>
        <v>84352.72727272726</v>
      </c>
    </row>
    <row r="94" spans="1:44" ht="15">
      <c r="A94" s="1"/>
      <c r="B94" s="1"/>
      <c r="C94" s="1"/>
      <c r="D94" s="98" t="s">
        <v>119</v>
      </c>
      <c r="E94" s="1"/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1686.99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65">
        <f>ROUND(SUM(Q94:U94),5)</f>
        <v>0</v>
      </c>
      <c r="W94" s="38">
        <v>0</v>
      </c>
      <c r="X94" s="38">
        <v>0</v>
      </c>
      <c r="Y94" s="38">
        <v>0</v>
      </c>
      <c r="Z94" s="38">
        <v>0</v>
      </c>
      <c r="AA94" s="130">
        <f>ROUND(SUM(W94:Z94),5)</f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65">
        <f t="shared" si="22"/>
        <v>1686.99</v>
      </c>
      <c r="AO94" s="65">
        <f t="shared" si="28"/>
        <v>153.36272727272728</v>
      </c>
      <c r="AP94" s="119">
        <f t="shared" si="24"/>
        <v>1840.3527272727274</v>
      </c>
      <c r="AQ94" s="97">
        <v>900</v>
      </c>
      <c r="AR94" s="111">
        <f t="shared" si="25"/>
        <v>-940.3527272727274</v>
      </c>
    </row>
    <row r="95" spans="1:44" ht="15">
      <c r="A95" s="1"/>
      <c r="B95" s="1"/>
      <c r="C95" s="1"/>
      <c r="D95" s="98" t="s">
        <v>120</v>
      </c>
      <c r="E95" s="1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65"/>
      <c r="W95" s="38"/>
      <c r="X95" s="38"/>
      <c r="Y95" s="38"/>
      <c r="Z95" s="38"/>
      <c r="AA95" s="130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65">
        <f t="shared" si="22"/>
        <v>0</v>
      </c>
      <c r="AO95" s="65">
        <f t="shared" si="28"/>
        <v>0</v>
      </c>
      <c r="AP95" s="119">
        <f t="shared" si="24"/>
        <v>0</v>
      </c>
      <c r="AQ95" s="97">
        <v>8900</v>
      </c>
      <c r="AR95" s="111">
        <f t="shared" si="25"/>
        <v>8900</v>
      </c>
    </row>
    <row r="96" spans="1:44" ht="15">
      <c r="A96" s="1"/>
      <c r="B96" s="1"/>
      <c r="C96" s="1"/>
      <c r="D96" s="98" t="s">
        <v>121</v>
      </c>
      <c r="E96" s="1"/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3000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65">
        <f aca="true" t="shared" si="29" ref="V96:V112">ROUND(SUM(Q96:U96),5)</f>
        <v>0</v>
      </c>
      <c r="W96" s="38">
        <v>0</v>
      </c>
      <c r="X96" s="38">
        <v>0</v>
      </c>
      <c r="Y96" s="38">
        <v>0</v>
      </c>
      <c r="Z96" s="38">
        <v>0</v>
      </c>
      <c r="AA96" s="130">
        <f aca="true" t="shared" si="30" ref="AA96:AA112">ROUND(SUM(W96:Z96),5)</f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8000</v>
      </c>
      <c r="AH96" s="38">
        <v>0</v>
      </c>
      <c r="AI96" s="38">
        <v>0</v>
      </c>
      <c r="AJ96" s="38">
        <v>0</v>
      </c>
      <c r="AK96" s="38">
        <v>0</v>
      </c>
      <c r="AL96" s="38">
        <v>900</v>
      </c>
      <c r="AM96" s="38">
        <v>0</v>
      </c>
      <c r="AN96" s="65">
        <f t="shared" si="22"/>
        <v>11900</v>
      </c>
      <c r="AO96" s="65">
        <f t="shared" si="28"/>
        <v>1081.8181818181818</v>
      </c>
      <c r="AP96" s="119">
        <f t="shared" si="24"/>
        <v>12981.818181818182</v>
      </c>
      <c r="AQ96" s="97">
        <v>15924</v>
      </c>
      <c r="AR96" s="111">
        <f t="shared" si="25"/>
        <v>2942.181818181818</v>
      </c>
    </row>
    <row r="97" spans="1:44" ht="15">
      <c r="A97" s="1"/>
      <c r="B97" s="1"/>
      <c r="C97" s="1"/>
      <c r="D97" s="98" t="s">
        <v>122</v>
      </c>
      <c r="E97" s="1"/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65">
        <f t="shared" si="29"/>
        <v>0</v>
      </c>
      <c r="W97" s="38">
        <v>0</v>
      </c>
      <c r="X97" s="38">
        <v>0</v>
      </c>
      <c r="Y97" s="38">
        <v>0</v>
      </c>
      <c r="Z97" s="38">
        <v>0</v>
      </c>
      <c r="AA97" s="130">
        <f t="shared" si="30"/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350</v>
      </c>
      <c r="AJ97" s="38">
        <v>0</v>
      </c>
      <c r="AK97" s="38">
        <v>0</v>
      </c>
      <c r="AL97" s="38">
        <v>0</v>
      </c>
      <c r="AM97" s="38">
        <v>0</v>
      </c>
      <c r="AN97" s="65">
        <f t="shared" si="22"/>
        <v>350</v>
      </c>
      <c r="AO97" s="65">
        <f t="shared" si="28"/>
        <v>31.818181818181817</v>
      </c>
      <c r="AP97" s="119">
        <f t="shared" si="24"/>
        <v>381.8181818181818</v>
      </c>
      <c r="AQ97" s="97">
        <v>1200</v>
      </c>
      <c r="AR97" s="111">
        <f t="shared" si="25"/>
        <v>818.1818181818182</v>
      </c>
    </row>
    <row r="98" spans="1:44" ht="15">
      <c r="A98" s="1"/>
      <c r="B98" s="1"/>
      <c r="C98" s="1"/>
      <c r="D98" s="98" t="s">
        <v>123</v>
      </c>
      <c r="E98" s="1"/>
      <c r="F98" s="38">
        <v>5375.23</v>
      </c>
      <c r="G98" s="38">
        <v>2659.69</v>
      </c>
      <c r="H98" s="38">
        <v>2711.23</v>
      </c>
      <c r="I98" s="38">
        <v>0</v>
      </c>
      <c r="J98" s="38">
        <v>0</v>
      </c>
      <c r="K98" s="38">
        <v>0</v>
      </c>
      <c r="L98" s="38">
        <v>104.84</v>
      </c>
      <c r="M98" s="38">
        <v>0</v>
      </c>
      <c r="N98" s="38">
        <v>0</v>
      </c>
      <c r="O98" s="38">
        <v>1039.88</v>
      </c>
      <c r="P98" s="38">
        <v>3784.21</v>
      </c>
      <c r="Q98" s="38">
        <v>1393.04</v>
      </c>
      <c r="R98" s="38">
        <v>176.5</v>
      </c>
      <c r="S98" s="38">
        <v>0</v>
      </c>
      <c r="T98" s="38">
        <v>0</v>
      </c>
      <c r="U98" s="38">
        <v>6177.38</v>
      </c>
      <c r="V98" s="65">
        <f t="shared" si="29"/>
        <v>7746.92</v>
      </c>
      <c r="W98" s="38">
        <v>1733.06</v>
      </c>
      <c r="X98" s="38">
        <v>0</v>
      </c>
      <c r="Y98" s="38">
        <v>981.44</v>
      </c>
      <c r="Z98" s="38">
        <v>1362.39</v>
      </c>
      <c r="AA98" s="130">
        <f t="shared" si="30"/>
        <v>4076.89</v>
      </c>
      <c r="AB98" s="38">
        <v>297.3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547.1</v>
      </c>
      <c r="AI98" s="38">
        <v>4130.92</v>
      </c>
      <c r="AJ98" s="38">
        <v>11701.86</v>
      </c>
      <c r="AK98" s="38">
        <v>0</v>
      </c>
      <c r="AL98" s="38">
        <v>21803.51</v>
      </c>
      <c r="AM98" s="38">
        <v>0</v>
      </c>
      <c r="AN98" s="65">
        <f t="shared" si="22"/>
        <v>65979.58</v>
      </c>
      <c r="AO98" s="65">
        <f t="shared" si="28"/>
        <v>5998.143636363637</v>
      </c>
      <c r="AP98" s="119">
        <f t="shared" si="24"/>
        <v>71977.72363636363</v>
      </c>
      <c r="AQ98" s="97">
        <v>74900</v>
      </c>
      <c r="AR98" s="111">
        <f t="shared" si="25"/>
        <v>2922.276363636367</v>
      </c>
    </row>
    <row r="99" spans="1:44" ht="15">
      <c r="A99" s="1"/>
      <c r="B99" s="1"/>
      <c r="C99" s="1"/>
      <c r="D99" s="98" t="s">
        <v>124</v>
      </c>
      <c r="E99" s="1"/>
      <c r="F99" s="38">
        <v>1387.99</v>
      </c>
      <c r="G99" s="38">
        <v>3099.37</v>
      </c>
      <c r="H99" s="38">
        <v>402.64</v>
      </c>
      <c r="I99" s="38">
        <v>0</v>
      </c>
      <c r="J99" s="38">
        <v>0</v>
      </c>
      <c r="K99" s="38">
        <v>0</v>
      </c>
      <c r="L99" s="38">
        <v>10</v>
      </c>
      <c r="M99" s="38">
        <v>0</v>
      </c>
      <c r="N99" s="38">
        <v>0</v>
      </c>
      <c r="O99" s="38">
        <v>0</v>
      </c>
      <c r="P99" s="38">
        <v>3942.22</v>
      </c>
      <c r="Q99" s="38">
        <v>0</v>
      </c>
      <c r="R99" s="38">
        <v>90.22</v>
      </c>
      <c r="S99" s="38">
        <v>0</v>
      </c>
      <c r="T99" s="38">
        <v>0</v>
      </c>
      <c r="U99" s="38">
        <v>447.48</v>
      </c>
      <c r="V99" s="65">
        <f t="shared" si="29"/>
        <v>537.7</v>
      </c>
      <c r="W99" s="38">
        <v>93</v>
      </c>
      <c r="X99" s="38">
        <v>0</v>
      </c>
      <c r="Y99" s="38">
        <v>582.64</v>
      </c>
      <c r="Z99" s="38">
        <v>317.63</v>
      </c>
      <c r="AA99" s="130">
        <f t="shared" si="30"/>
        <v>993.27</v>
      </c>
      <c r="AB99" s="38">
        <v>157.09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12.76</v>
      </c>
      <c r="AI99" s="38">
        <v>1007.88</v>
      </c>
      <c r="AJ99" s="38">
        <v>2487.7</v>
      </c>
      <c r="AK99" s="38">
        <v>0</v>
      </c>
      <c r="AL99" s="38">
        <v>1553.55</v>
      </c>
      <c r="AM99" s="38">
        <v>0</v>
      </c>
      <c r="AN99" s="65">
        <f t="shared" si="22"/>
        <v>15592.17</v>
      </c>
      <c r="AO99" s="65">
        <f t="shared" si="28"/>
        <v>1417.47</v>
      </c>
      <c r="AP99" s="119">
        <f t="shared" si="24"/>
        <v>17009.64</v>
      </c>
      <c r="AQ99" s="97">
        <v>22208</v>
      </c>
      <c r="AR99" s="111">
        <f t="shared" si="25"/>
        <v>5198.360000000001</v>
      </c>
    </row>
    <row r="100" spans="1:44" ht="15">
      <c r="A100" s="1"/>
      <c r="B100" s="1"/>
      <c r="C100" s="1"/>
      <c r="D100" s="98" t="s">
        <v>125</v>
      </c>
      <c r="E100" s="1"/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2000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65">
        <f t="shared" si="29"/>
        <v>0</v>
      </c>
      <c r="W100" s="38">
        <v>0</v>
      </c>
      <c r="X100" s="38">
        <v>0</v>
      </c>
      <c r="Y100" s="38">
        <v>0</v>
      </c>
      <c r="Z100" s="38">
        <v>0</v>
      </c>
      <c r="AA100" s="130">
        <f t="shared" si="30"/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65">
        <f t="shared" si="22"/>
        <v>2000</v>
      </c>
      <c r="AO100" s="65">
        <f t="shared" si="28"/>
        <v>181.8181818181818</v>
      </c>
      <c r="AP100" s="119">
        <f t="shared" si="24"/>
        <v>2181.818181818182</v>
      </c>
      <c r="AQ100" s="97">
        <v>4000</v>
      </c>
      <c r="AR100" s="111">
        <f t="shared" si="25"/>
        <v>1818.181818181818</v>
      </c>
    </row>
    <row r="101" spans="1:44" ht="15">
      <c r="A101" s="1"/>
      <c r="B101" s="1"/>
      <c r="C101" s="1"/>
      <c r="D101" s="98" t="s">
        <v>126</v>
      </c>
      <c r="E101" s="1"/>
      <c r="F101" s="38">
        <v>0</v>
      </c>
      <c r="G101" s="38">
        <v>-65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1733.88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65">
        <f t="shared" si="29"/>
        <v>0</v>
      </c>
      <c r="W101" s="38">
        <v>10872.58</v>
      </c>
      <c r="X101" s="38">
        <v>0</v>
      </c>
      <c r="Y101" s="38">
        <v>9337.82</v>
      </c>
      <c r="Z101" s="38">
        <v>12030.73</v>
      </c>
      <c r="AA101" s="130">
        <f t="shared" si="30"/>
        <v>32241.13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65">
        <f t="shared" si="22"/>
        <v>33910.01</v>
      </c>
      <c r="AO101" s="65">
        <f>(AN101/11)+250000+27000</f>
        <v>280082.72818181815</v>
      </c>
      <c r="AP101" s="119">
        <f t="shared" si="24"/>
        <v>313992.73818181816</v>
      </c>
      <c r="AQ101" s="97">
        <v>188218</v>
      </c>
      <c r="AR101" s="111">
        <f t="shared" si="25"/>
        <v>-125774.73818181816</v>
      </c>
    </row>
    <row r="102" spans="1:44" ht="15">
      <c r="A102" s="1"/>
      <c r="B102" s="1"/>
      <c r="C102" s="1"/>
      <c r="D102" s="98" t="s">
        <v>127</v>
      </c>
      <c r="E102" s="1"/>
      <c r="F102" s="38">
        <v>0</v>
      </c>
      <c r="G102" s="38">
        <v>4573.8</v>
      </c>
      <c r="H102" s="38">
        <v>2642.29</v>
      </c>
      <c r="I102" s="38">
        <v>0</v>
      </c>
      <c r="J102" s="38">
        <v>0</v>
      </c>
      <c r="K102" s="38">
        <v>0</v>
      </c>
      <c r="L102" s="38">
        <v>150.63</v>
      </c>
      <c r="M102" s="38">
        <v>0</v>
      </c>
      <c r="N102" s="38">
        <v>0</v>
      </c>
      <c r="O102" s="38">
        <v>210.6</v>
      </c>
      <c r="P102" s="38">
        <v>105594.84</v>
      </c>
      <c r="Q102" s="38">
        <v>0</v>
      </c>
      <c r="R102" s="38">
        <v>0</v>
      </c>
      <c r="S102" s="38">
        <v>0</v>
      </c>
      <c r="T102" s="38">
        <v>0</v>
      </c>
      <c r="U102" s="38">
        <v>2402.05</v>
      </c>
      <c r="V102" s="65">
        <f t="shared" si="29"/>
        <v>2402.05</v>
      </c>
      <c r="W102" s="38">
        <v>0</v>
      </c>
      <c r="X102" s="38">
        <v>0</v>
      </c>
      <c r="Y102" s="38">
        <v>752.96</v>
      </c>
      <c r="Z102" s="38">
        <v>1593.54</v>
      </c>
      <c r="AA102" s="130">
        <f t="shared" si="30"/>
        <v>2346.5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2473.55</v>
      </c>
      <c r="AJ102" s="38">
        <v>965.72</v>
      </c>
      <c r="AK102" s="38">
        <v>0</v>
      </c>
      <c r="AL102" s="38">
        <v>1518.5</v>
      </c>
      <c r="AM102" s="38">
        <v>0</v>
      </c>
      <c r="AN102" s="65">
        <f t="shared" si="22"/>
        <v>122878.48</v>
      </c>
      <c r="AO102" s="65">
        <f>(AN102/11)</f>
        <v>11170.770909090908</v>
      </c>
      <c r="AP102" s="119">
        <f t="shared" si="24"/>
        <v>134049.25090909092</v>
      </c>
      <c r="AQ102" s="97">
        <v>81956</v>
      </c>
      <c r="AR102" s="111">
        <f t="shared" si="25"/>
        <v>-52093.250909090915</v>
      </c>
    </row>
    <row r="103" spans="1:44" ht="15">
      <c r="A103" s="1"/>
      <c r="B103" s="1"/>
      <c r="C103" s="1"/>
      <c r="D103" s="98" t="s">
        <v>128</v>
      </c>
      <c r="E103" s="1"/>
      <c r="F103" s="38">
        <v>18405.45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65">
        <f t="shared" si="29"/>
        <v>0</v>
      </c>
      <c r="W103" s="38">
        <v>0</v>
      </c>
      <c r="X103" s="38">
        <v>0</v>
      </c>
      <c r="Y103" s="38">
        <v>0</v>
      </c>
      <c r="Z103" s="38">
        <v>0</v>
      </c>
      <c r="AA103" s="130">
        <f t="shared" si="30"/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65">
        <f t="shared" si="22"/>
        <v>18405.45</v>
      </c>
      <c r="AO103" s="65">
        <f t="shared" si="28"/>
        <v>1673.2227272727273</v>
      </c>
      <c r="AP103" s="119">
        <f t="shared" si="24"/>
        <v>20078.67272727273</v>
      </c>
      <c r="AQ103" s="97">
        <v>19200</v>
      </c>
      <c r="AR103" s="111">
        <f t="shared" si="25"/>
        <v>-878.6727272727294</v>
      </c>
    </row>
    <row r="104" spans="1:44" ht="15">
      <c r="A104" s="1"/>
      <c r="B104" s="1"/>
      <c r="C104" s="1"/>
      <c r="D104" s="98" t="s">
        <v>129</v>
      </c>
      <c r="E104" s="1"/>
      <c r="F104" s="38">
        <v>26820.5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65">
        <f t="shared" si="29"/>
        <v>0</v>
      </c>
      <c r="W104" s="38">
        <v>0</v>
      </c>
      <c r="X104" s="38">
        <v>0</v>
      </c>
      <c r="Y104" s="38">
        <v>0</v>
      </c>
      <c r="Z104" s="38">
        <v>0</v>
      </c>
      <c r="AA104" s="130">
        <f t="shared" si="30"/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65">
        <f t="shared" si="22"/>
        <v>26820.5</v>
      </c>
      <c r="AO104" s="65">
        <f t="shared" si="28"/>
        <v>2438.2272727272725</v>
      </c>
      <c r="AP104" s="119">
        <f t="shared" si="24"/>
        <v>29258.727272727272</v>
      </c>
      <c r="AQ104" s="97">
        <v>22920</v>
      </c>
      <c r="AR104" s="111">
        <f t="shared" si="25"/>
        <v>-6338.727272727272</v>
      </c>
    </row>
    <row r="105" spans="1:44" ht="15">
      <c r="A105" s="1"/>
      <c r="B105" s="1"/>
      <c r="C105" s="1"/>
      <c r="D105" s="98" t="s">
        <v>130</v>
      </c>
      <c r="E105" s="1"/>
      <c r="F105" s="38">
        <v>4712.52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154.75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65">
        <f t="shared" si="29"/>
        <v>0</v>
      </c>
      <c r="W105" s="38">
        <v>0</v>
      </c>
      <c r="X105" s="38">
        <v>0</v>
      </c>
      <c r="Y105" s="38">
        <v>0</v>
      </c>
      <c r="Z105" s="38">
        <v>0</v>
      </c>
      <c r="AA105" s="130">
        <f t="shared" si="30"/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65">
        <f t="shared" si="22"/>
        <v>4867.27</v>
      </c>
      <c r="AO105" s="65">
        <f t="shared" si="28"/>
        <v>442.4790909090909</v>
      </c>
      <c r="AP105" s="119">
        <f t="shared" si="24"/>
        <v>5309.749090909091</v>
      </c>
      <c r="AQ105" s="97">
        <v>2700</v>
      </c>
      <c r="AR105" s="111">
        <f t="shared" si="25"/>
        <v>-2609.749090909091</v>
      </c>
    </row>
    <row r="106" spans="1:44" ht="15">
      <c r="A106" s="1"/>
      <c r="B106" s="1"/>
      <c r="C106" s="1"/>
      <c r="D106" s="98" t="s">
        <v>131</v>
      </c>
      <c r="E106" s="1"/>
      <c r="F106" s="38">
        <v>98.21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16239.07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65">
        <f t="shared" si="29"/>
        <v>0</v>
      </c>
      <c r="W106" s="38">
        <v>0</v>
      </c>
      <c r="X106" s="38">
        <v>0</v>
      </c>
      <c r="Y106" s="38">
        <v>0</v>
      </c>
      <c r="Z106" s="38">
        <v>0</v>
      </c>
      <c r="AA106" s="130">
        <f t="shared" si="30"/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65">
        <f t="shared" si="22"/>
        <v>16337.28</v>
      </c>
      <c r="AO106" s="65">
        <f t="shared" si="28"/>
        <v>1485.2072727272728</v>
      </c>
      <c r="AP106" s="119">
        <f t="shared" si="24"/>
        <v>17822.487272727274</v>
      </c>
      <c r="AQ106" s="97">
        <v>22000</v>
      </c>
      <c r="AR106" s="111">
        <f t="shared" si="25"/>
        <v>4177.512727272726</v>
      </c>
    </row>
    <row r="107" spans="1:44" ht="15">
      <c r="A107" s="1"/>
      <c r="B107" s="1"/>
      <c r="C107" s="1"/>
      <c r="D107" s="98" t="s">
        <v>132</v>
      </c>
      <c r="E107" s="1"/>
      <c r="F107" s="38">
        <v>46342.84</v>
      </c>
      <c r="G107" s="38">
        <v>3176.65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94954.46</v>
      </c>
      <c r="Q107" s="38">
        <v>0</v>
      </c>
      <c r="R107" s="38">
        <v>0</v>
      </c>
      <c r="S107" s="38">
        <v>0</v>
      </c>
      <c r="T107" s="38">
        <v>0</v>
      </c>
      <c r="U107" s="38">
        <v>5500</v>
      </c>
      <c r="V107" s="65">
        <f t="shared" si="29"/>
        <v>5500</v>
      </c>
      <c r="W107" s="38">
        <v>75</v>
      </c>
      <c r="X107" s="38">
        <v>0</v>
      </c>
      <c r="Y107" s="38">
        <v>0</v>
      </c>
      <c r="Z107" s="38">
        <v>275</v>
      </c>
      <c r="AA107" s="130">
        <f t="shared" si="30"/>
        <v>350</v>
      </c>
      <c r="AB107" s="38">
        <v>0</v>
      </c>
      <c r="AC107" s="38">
        <v>0</v>
      </c>
      <c r="AD107" s="38">
        <v>2780.02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53629.42</v>
      </c>
      <c r="AK107" s="38">
        <v>0</v>
      </c>
      <c r="AL107" s="38">
        <v>32017.65</v>
      </c>
      <c r="AM107" s="38">
        <v>0</v>
      </c>
      <c r="AN107" s="65">
        <f t="shared" si="22"/>
        <v>238751.04</v>
      </c>
      <c r="AO107" s="65">
        <f t="shared" si="28"/>
        <v>21704.64</v>
      </c>
      <c r="AP107" s="119">
        <f t="shared" si="24"/>
        <v>260455.68</v>
      </c>
      <c r="AQ107" s="97">
        <v>379304</v>
      </c>
      <c r="AR107" s="111">
        <f t="shared" si="25"/>
        <v>118848.32</v>
      </c>
    </row>
    <row r="108" spans="1:44" ht="15">
      <c r="A108" s="1"/>
      <c r="B108" s="1"/>
      <c r="C108" s="1"/>
      <c r="D108" s="98" t="s">
        <v>133</v>
      </c>
      <c r="E108" s="1"/>
      <c r="F108" s="38">
        <v>450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34835</v>
      </c>
      <c r="R108" s="38">
        <v>587</v>
      </c>
      <c r="S108" s="38">
        <v>3600</v>
      </c>
      <c r="T108" s="38">
        <v>4800</v>
      </c>
      <c r="U108" s="38">
        <v>71700</v>
      </c>
      <c r="V108" s="65">
        <f t="shared" si="29"/>
        <v>115522</v>
      </c>
      <c r="W108" s="38">
        <v>0</v>
      </c>
      <c r="X108" s="38">
        <v>0</v>
      </c>
      <c r="Y108" s="38">
        <v>0</v>
      </c>
      <c r="Z108" s="38">
        <v>0</v>
      </c>
      <c r="AA108" s="130">
        <f t="shared" si="30"/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40000</v>
      </c>
      <c r="AI108" s="38">
        <v>0</v>
      </c>
      <c r="AJ108" s="38">
        <v>0</v>
      </c>
      <c r="AK108" s="38">
        <v>12132.66</v>
      </c>
      <c r="AL108" s="38">
        <v>0</v>
      </c>
      <c r="AM108" s="38">
        <v>0</v>
      </c>
      <c r="AN108" s="65">
        <f t="shared" si="22"/>
        <v>168104.66</v>
      </c>
      <c r="AO108" s="65">
        <f>(AN108/11)+12500+50000</f>
        <v>77782.24181818182</v>
      </c>
      <c r="AP108" s="119">
        <f t="shared" si="24"/>
        <v>245886.90181818182</v>
      </c>
      <c r="AQ108" s="97">
        <v>64800</v>
      </c>
      <c r="AR108" s="111">
        <f t="shared" si="25"/>
        <v>-181086.90181818182</v>
      </c>
    </row>
    <row r="109" spans="1:44" ht="15">
      <c r="A109" s="1"/>
      <c r="B109" s="1"/>
      <c r="C109" s="1"/>
      <c r="D109" s="98" t="s">
        <v>134</v>
      </c>
      <c r="E109" s="1"/>
      <c r="F109" s="38">
        <v>64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65">
        <f t="shared" si="29"/>
        <v>0</v>
      </c>
      <c r="W109" s="38">
        <v>0</v>
      </c>
      <c r="X109" s="38">
        <v>0</v>
      </c>
      <c r="Y109" s="38">
        <v>0</v>
      </c>
      <c r="Z109" s="38">
        <v>0</v>
      </c>
      <c r="AA109" s="130">
        <f t="shared" si="30"/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514.88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65">
        <f aca="true" t="shared" si="31" ref="AN109:AN115">ROUND(SUM(F109:P109)+V109+SUM(AA109:AM109),5)</f>
        <v>578.88</v>
      </c>
      <c r="AO109" s="65">
        <f aca="true" t="shared" si="32" ref="AO109:AO115">AN109/11</f>
        <v>52.625454545454545</v>
      </c>
      <c r="AP109" s="119">
        <f aca="true" t="shared" si="33" ref="AP109:AP115">+AN109+AO109</f>
        <v>631.5054545454545</v>
      </c>
      <c r="AQ109" s="97">
        <v>0</v>
      </c>
      <c r="AR109" s="111">
        <f aca="true" t="shared" si="34" ref="AR109:AR115">+AQ109-AP109</f>
        <v>-631.5054545454545</v>
      </c>
    </row>
    <row r="110" spans="1:44" ht="15">
      <c r="A110" s="1"/>
      <c r="B110" s="1"/>
      <c r="C110" s="1"/>
      <c r="D110" s="98" t="s">
        <v>135</v>
      </c>
      <c r="E110" s="1"/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2820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65">
        <f t="shared" si="29"/>
        <v>0</v>
      </c>
      <c r="W110" s="38">
        <v>0</v>
      </c>
      <c r="X110" s="38">
        <v>0</v>
      </c>
      <c r="Y110" s="38">
        <v>0</v>
      </c>
      <c r="Z110" s="38">
        <v>0</v>
      </c>
      <c r="AA110" s="130">
        <f t="shared" si="30"/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250</v>
      </c>
      <c r="AJ110" s="38">
        <v>0</v>
      </c>
      <c r="AK110" s="38">
        <v>0</v>
      </c>
      <c r="AL110" s="38">
        <v>0</v>
      </c>
      <c r="AM110" s="38">
        <v>0</v>
      </c>
      <c r="AN110" s="65">
        <f t="shared" si="31"/>
        <v>3070</v>
      </c>
      <c r="AO110" s="65">
        <f>(AN110/11)+5300</f>
        <v>5579.090909090909</v>
      </c>
      <c r="AP110" s="119">
        <f t="shared" si="33"/>
        <v>8649.090909090908</v>
      </c>
      <c r="AQ110" s="97">
        <v>3456</v>
      </c>
      <c r="AR110" s="111">
        <f t="shared" si="34"/>
        <v>-5193.090909090908</v>
      </c>
    </row>
    <row r="111" spans="1:44" ht="15">
      <c r="A111" s="1"/>
      <c r="B111" s="1"/>
      <c r="C111" s="1"/>
      <c r="D111" s="98" t="s">
        <v>136</v>
      </c>
      <c r="E111" s="1"/>
      <c r="F111" s="38">
        <v>10503.99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65">
        <f t="shared" si="29"/>
        <v>0</v>
      </c>
      <c r="W111" s="38">
        <v>0</v>
      </c>
      <c r="X111" s="38">
        <v>0</v>
      </c>
      <c r="Y111" s="38">
        <v>0</v>
      </c>
      <c r="Z111" s="38">
        <v>0</v>
      </c>
      <c r="AA111" s="130">
        <f t="shared" si="30"/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65">
        <f t="shared" si="31"/>
        <v>10503.99</v>
      </c>
      <c r="AO111" s="65">
        <f t="shared" si="32"/>
        <v>954.9081818181818</v>
      </c>
      <c r="AP111" s="119">
        <f t="shared" si="33"/>
        <v>11458.898181818182</v>
      </c>
      <c r="AQ111" s="97">
        <v>13380</v>
      </c>
      <c r="AR111" s="111">
        <f t="shared" si="34"/>
        <v>1921.101818181818</v>
      </c>
    </row>
    <row r="112" spans="1:44" ht="15">
      <c r="A112" s="1"/>
      <c r="B112" s="1"/>
      <c r="C112" s="1"/>
      <c r="D112" s="98" t="s">
        <v>137</v>
      </c>
      <c r="E112" s="1"/>
      <c r="F112" s="38">
        <v>-5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65">
        <f t="shared" si="29"/>
        <v>0</v>
      </c>
      <c r="W112" s="38">
        <v>0</v>
      </c>
      <c r="X112" s="38">
        <v>0</v>
      </c>
      <c r="Y112" s="38">
        <v>0</v>
      </c>
      <c r="Z112" s="38">
        <v>0</v>
      </c>
      <c r="AA112" s="130">
        <f t="shared" si="30"/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65">
        <f t="shared" si="31"/>
        <v>-5</v>
      </c>
      <c r="AO112" s="65">
        <f t="shared" si="32"/>
        <v>-0.45454545454545453</v>
      </c>
      <c r="AP112" s="119">
        <f t="shared" si="33"/>
        <v>-5.454545454545454</v>
      </c>
      <c r="AQ112" s="97">
        <v>49000</v>
      </c>
      <c r="AR112" s="111">
        <f t="shared" si="34"/>
        <v>49005.454545454544</v>
      </c>
    </row>
    <row r="113" spans="1:44" ht="15">
      <c r="A113" s="1"/>
      <c r="B113" s="1"/>
      <c r="C113" s="1"/>
      <c r="D113" s="98" t="s">
        <v>138</v>
      </c>
      <c r="E113" s="1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65"/>
      <c r="W113" s="38"/>
      <c r="X113" s="38"/>
      <c r="Y113" s="38"/>
      <c r="Z113" s="38"/>
      <c r="AA113" s="130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65">
        <f t="shared" si="31"/>
        <v>0</v>
      </c>
      <c r="AO113" s="65">
        <f t="shared" si="32"/>
        <v>0</v>
      </c>
      <c r="AP113" s="119">
        <f t="shared" si="33"/>
        <v>0</v>
      </c>
      <c r="AQ113" s="97">
        <v>0</v>
      </c>
      <c r="AR113" s="111">
        <f t="shared" si="34"/>
        <v>0</v>
      </c>
    </row>
    <row r="114" spans="1:45" s="16" customFormat="1" ht="15">
      <c r="A114" s="1"/>
      <c r="B114" s="1"/>
      <c r="C114" s="1"/>
      <c r="D114" s="98" t="s">
        <v>139</v>
      </c>
      <c r="E114" s="1"/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65">
        <f>ROUND(SUM(Q114:U114),5)</f>
        <v>0</v>
      </c>
      <c r="W114" s="38">
        <v>0</v>
      </c>
      <c r="X114" s="38">
        <v>0</v>
      </c>
      <c r="Y114" s="38">
        <v>0</v>
      </c>
      <c r="Z114" s="38">
        <v>0</v>
      </c>
      <c r="AA114" s="130">
        <f>ROUND(SUM(W114:Z114),5)</f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408.04</v>
      </c>
      <c r="AM114" s="38">
        <v>0</v>
      </c>
      <c r="AN114" s="65">
        <f t="shared" si="31"/>
        <v>408.04</v>
      </c>
      <c r="AO114" s="65">
        <f t="shared" si="32"/>
        <v>37.094545454545454</v>
      </c>
      <c r="AP114" s="119">
        <f t="shared" si="33"/>
        <v>445.13454545454545</v>
      </c>
      <c r="AQ114" s="97">
        <v>52280</v>
      </c>
      <c r="AR114" s="111">
        <f t="shared" si="34"/>
        <v>51834.865454545456</v>
      </c>
      <c r="AS114" s="86"/>
    </row>
    <row r="115" spans="1:45" ht="15.75" thickBot="1">
      <c r="A115" s="1"/>
      <c r="B115" s="1"/>
      <c r="C115" s="1"/>
      <c r="D115" s="98" t="s">
        <v>140</v>
      </c>
      <c r="E115" s="1"/>
      <c r="F115" s="88">
        <v>-39417.38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v>0</v>
      </c>
      <c r="V115" s="106">
        <f>ROUND(SUM(Q115:U115),5)</f>
        <v>0</v>
      </c>
      <c r="W115" s="88">
        <v>0</v>
      </c>
      <c r="X115" s="88">
        <v>0</v>
      </c>
      <c r="Y115" s="88">
        <v>0</v>
      </c>
      <c r="Z115" s="88">
        <v>0</v>
      </c>
      <c r="AA115" s="132">
        <f>ROUND(SUM(W115:Z115),5)</f>
        <v>0</v>
      </c>
      <c r="AB115" s="88">
        <v>0</v>
      </c>
      <c r="AC115" s="88">
        <v>0</v>
      </c>
      <c r="AD115" s="88">
        <v>0</v>
      </c>
      <c r="AE115" s="88">
        <v>0</v>
      </c>
      <c r="AF115" s="88">
        <v>0</v>
      </c>
      <c r="AG115" s="88">
        <v>0</v>
      </c>
      <c r="AH115" s="88">
        <v>0</v>
      </c>
      <c r="AI115" s="88">
        <v>0</v>
      </c>
      <c r="AJ115" s="88">
        <v>39417.38</v>
      </c>
      <c r="AK115" s="88">
        <v>0</v>
      </c>
      <c r="AL115" s="88">
        <v>0</v>
      </c>
      <c r="AM115" s="88">
        <v>0</v>
      </c>
      <c r="AN115" s="65">
        <f t="shared" si="31"/>
        <v>0</v>
      </c>
      <c r="AO115" s="65">
        <f t="shared" si="32"/>
        <v>0</v>
      </c>
      <c r="AP115" s="119">
        <f t="shared" si="33"/>
        <v>0</v>
      </c>
      <c r="AQ115" s="100">
        <v>0</v>
      </c>
      <c r="AR115" s="113">
        <f t="shared" si="34"/>
        <v>0</v>
      </c>
      <c r="AS115" s="16"/>
    </row>
    <row r="116" spans="1:44" ht="15.75" thickBot="1">
      <c r="A116" s="1"/>
      <c r="B116" s="1"/>
      <c r="C116" s="1" t="s">
        <v>141</v>
      </c>
      <c r="D116" s="1"/>
      <c r="E116" s="1"/>
      <c r="F116" s="90">
        <f>ROUND(SUM(F44:F74)+SUM(F78:F115),5)+F77+F76+F75</f>
        <v>767744.15</v>
      </c>
      <c r="G116" s="90">
        <f aca="true" t="shared" si="35" ref="G116:AM116">ROUND(SUM(G44:G74)+SUM(G78:G115),5)+G77+G76+G75</f>
        <v>14733.47</v>
      </c>
      <c r="H116" s="90">
        <f t="shared" si="35"/>
        <v>7038.15</v>
      </c>
      <c r="I116" s="90">
        <f t="shared" si="35"/>
        <v>0</v>
      </c>
      <c r="J116" s="90">
        <f t="shared" si="35"/>
        <v>0</v>
      </c>
      <c r="K116" s="90">
        <f t="shared" si="35"/>
        <v>6068.35</v>
      </c>
      <c r="L116" s="90">
        <f t="shared" si="35"/>
        <v>1633.75</v>
      </c>
      <c r="M116" s="90">
        <f t="shared" si="35"/>
        <v>-96.85</v>
      </c>
      <c r="N116" s="90">
        <f t="shared" si="35"/>
        <v>7648.01</v>
      </c>
      <c r="O116" s="90">
        <f t="shared" si="35"/>
        <v>1638.56</v>
      </c>
      <c r="P116" s="90">
        <f t="shared" si="35"/>
        <v>336657.53</v>
      </c>
      <c r="Q116" s="90">
        <f t="shared" si="35"/>
        <v>38028.04</v>
      </c>
      <c r="R116" s="90">
        <f t="shared" si="35"/>
        <v>4577.68</v>
      </c>
      <c r="S116" s="90">
        <f t="shared" si="35"/>
        <v>3600</v>
      </c>
      <c r="T116" s="90">
        <f t="shared" si="35"/>
        <v>6650</v>
      </c>
      <c r="U116" s="90">
        <f t="shared" si="35"/>
        <v>94612.97</v>
      </c>
      <c r="V116" s="108">
        <f t="shared" si="35"/>
        <v>147468.69</v>
      </c>
      <c r="W116" s="90">
        <f t="shared" si="35"/>
        <v>16535.51</v>
      </c>
      <c r="X116" s="90">
        <f t="shared" si="35"/>
        <v>2700</v>
      </c>
      <c r="Y116" s="90">
        <f t="shared" si="35"/>
        <v>16166.97</v>
      </c>
      <c r="Z116" s="90">
        <f t="shared" si="35"/>
        <v>21263.91</v>
      </c>
      <c r="AA116" s="134">
        <f t="shared" si="35"/>
        <v>56666.39</v>
      </c>
      <c r="AB116" s="90">
        <f t="shared" si="35"/>
        <v>2465.4</v>
      </c>
      <c r="AC116" s="90">
        <f t="shared" si="35"/>
        <v>103.08</v>
      </c>
      <c r="AD116" s="90">
        <f t="shared" si="35"/>
        <v>6358.62</v>
      </c>
      <c r="AE116" s="90">
        <f t="shared" si="35"/>
        <v>0</v>
      </c>
      <c r="AF116" s="90">
        <f t="shared" si="35"/>
        <v>0</v>
      </c>
      <c r="AG116" s="90">
        <f t="shared" si="35"/>
        <v>8000</v>
      </c>
      <c r="AH116" s="90">
        <f t="shared" si="35"/>
        <v>41084.76</v>
      </c>
      <c r="AI116" s="90">
        <f t="shared" si="35"/>
        <v>10908.49</v>
      </c>
      <c r="AJ116" s="90">
        <f t="shared" si="35"/>
        <v>485168.08999999997</v>
      </c>
      <c r="AK116" s="90">
        <f t="shared" si="35"/>
        <v>12132.66</v>
      </c>
      <c r="AL116" s="90">
        <f t="shared" si="35"/>
        <v>183295.71</v>
      </c>
      <c r="AM116" s="90">
        <f t="shared" si="35"/>
        <v>0</v>
      </c>
      <c r="AN116" s="108">
        <f>ROUND(SUM(F116:P116)+V116+SUM(AA116:AM116),5)</f>
        <v>2096717.01</v>
      </c>
      <c r="AO116" s="108">
        <f aca="true" t="shared" si="36" ref="AO116">ROUND(SUM(AO44:AO74)+SUM(AO78:AO115),5)+AO77+AO76+AO75</f>
        <v>535410.6372754546</v>
      </c>
      <c r="AP116" s="123">
        <f>+AN116+AO116</f>
        <v>2632127.6472754544</v>
      </c>
      <c r="AQ116" s="103">
        <f>SUM(AQ45:AQ115)</f>
        <v>2767257</v>
      </c>
      <c r="AR116" s="116">
        <f>+AQ116-AP116</f>
        <v>135129.35272454564</v>
      </c>
    </row>
    <row r="117" spans="1:44" ht="15.75" thickBot="1">
      <c r="A117" s="1" t="s">
        <v>142</v>
      </c>
      <c r="B117" s="1"/>
      <c r="C117" s="1"/>
      <c r="D117" s="1"/>
      <c r="E117" s="1"/>
      <c r="F117" s="91">
        <f aca="true" t="shared" si="37" ref="F117:U117">ROUND(F43-F116,5)</f>
        <v>-703730.05</v>
      </c>
      <c r="G117" s="91">
        <f t="shared" si="37"/>
        <v>-14008.47</v>
      </c>
      <c r="H117" s="91">
        <f t="shared" si="37"/>
        <v>-7038.15</v>
      </c>
      <c r="I117" s="91">
        <f t="shared" si="37"/>
        <v>0</v>
      </c>
      <c r="J117" s="91">
        <f t="shared" si="37"/>
        <v>2628.8</v>
      </c>
      <c r="K117" s="91">
        <f t="shared" si="37"/>
        <v>17023.46</v>
      </c>
      <c r="L117" s="91">
        <f t="shared" si="37"/>
        <v>-2533.75</v>
      </c>
      <c r="M117" s="91">
        <f t="shared" si="37"/>
        <v>166.6</v>
      </c>
      <c r="N117" s="91">
        <f t="shared" si="37"/>
        <v>-7648.01</v>
      </c>
      <c r="O117" s="91">
        <f t="shared" si="37"/>
        <v>-1638.56</v>
      </c>
      <c r="P117" s="91">
        <f t="shared" si="37"/>
        <v>1465311.15</v>
      </c>
      <c r="Q117" s="91">
        <f t="shared" si="37"/>
        <v>-16063.04</v>
      </c>
      <c r="R117" s="91">
        <f t="shared" si="37"/>
        <v>97752.32</v>
      </c>
      <c r="S117" s="91">
        <f t="shared" si="37"/>
        <v>-3600</v>
      </c>
      <c r="T117" s="91">
        <f t="shared" si="37"/>
        <v>22700</v>
      </c>
      <c r="U117" s="91">
        <f t="shared" si="37"/>
        <v>-3702.97</v>
      </c>
      <c r="V117" s="109">
        <f>ROUND(SUM(Q117:U117),5)</f>
        <v>97086.31</v>
      </c>
      <c r="W117" s="91">
        <f>ROUND(W43-W116,5)</f>
        <v>5549.49</v>
      </c>
      <c r="X117" s="91">
        <f>ROUND(X43-X116,5)</f>
        <v>58285</v>
      </c>
      <c r="Y117" s="91">
        <f>ROUND(Y43-Y116,5)</f>
        <v>200.03</v>
      </c>
      <c r="Z117" s="91">
        <f>ROUND(Z43-Z116,5)</f>
        <v>2071.09</v>
      </c>
      <c r="AA117" s="135">
        <f>ROUND(SUM(W117:Z117),5)</f>
        <v>66105.61</v>
      </c>
      <c r="AB117" s="91">
        <f aca="true" t="shared" si="38" ref="AB117:AO117">ROUND(AB43-AB116,5)</f>
        <v>4034.6</v>
      </c>
      <c r="AC117" s="91">
        <f t="shared" si="38"/>
        <v>-103.08</v>
      </c>
      <c r="AD117" s="91">
        <f t="shared" si="38"/>
        <v>-7453</v>
      </c>
      <c r="AE117" s="91">
        <f t="shared" si="38"/>
        <v>9914.15</v>
      </c>
      <c r="AF117" s="91">
        <f t="shared" si="38"/>
        <v>57.18</v>
      </c>
      <c r="AG117" s="91">
        <f t="shared" si="38"/>
        <v>-8000</v>
      </c>
      <c r="AH117" s="91">
        <f t="shared" si="38"/>
        <v>-41084.76</v>
      </c>
      <c r="AI117" s="91">
        <f t="shared" si="38"/>
        <v>-10908.49</v>
      </c>
      <c r="AJ117" s="91">
        <f t="shared" si="38"/>
        <v>0</v>
      </c>
      <c r="AK117" s="91">
        <f t="shared" si="38"/>
        <v>-12132.66</v>
      </c>
      <c r="AL117" s="91">
        <f t="shared" si="38"/>
        <v>69032.79</v>
      </c>
      <c r="AM117" s="91">
        <f t="shared" si="38"/>
        <v>0</v>
      </c>
      <c r="AN117" s="109">
        <f>ROUND(SUM(F117:P117)+V117+SUM(AA117:AM117),5)</f>
        <v>915081.67</v>
      </c>
      <c r="AO117" s="109">
        <f t="shared" si="38"/>
        <v>-444701.65091</v>
      </c>
      <c r="AP117" s="124">
        <f>+AN117+AO117</f>
        <v>470380.01909</v>
      </c>
      <c r="AQ117" s="104">
        <f>+AQ43-AQ116</f>
        <v>0</v>
      </c>
      <c r="AR117" s="117">
        <f>+AP117-AQ117</f>
        <v>470380.01909</v>
      </c>
    </row>
    <row r="118" spans="5:44" ht="15.75" thickTop="1">
      <c r="E118" s="18"/>
      <c r="R118" s="85" t="s">
        <v>193</v>
      </c>
      <c r="S118" s="85" t="s">
        <v>193</v>
      </c>
      <c r="T118" s="85" t="s">
        <v>192</v>
      </c>
      <c r="U118" s="85" t="s">
        <v>193</v>
      </c>
      <c r="AP118" s="86"/>
      <c r="AQ118" s="86"/>
      <c r="AR118" s="86"/>
    </row>
    <row r="120" ht="15">
      <c r="AA120" s="137">
        <f>+AA117-27000</f>
        <v>39105.61</v>
      </c>
    </row>
    <row r="121" ht="15">
      <c r="AO121" s="137"/>
    </row>
  </sheetData>
  <printOptions horizontalCentered="1"/>
  <pageMargins left="0.27" right="0.27" top="0.35" bottom="0.5" header="0.23" footer="0.3"/>
  <pageSetup horizontalDpi="600" verticalDpi="600" orientation="landscape" scale="70" r:id="rId2"/>
  <headerFooter>
    <oddHeader>&amp;L&amp;"Arial,Bold"&amp;8 8:36 PM
 05/20/14
</oddHeader>
    <oddFooter>&amp;L&amp;"Arial,Bold"&amp;8 Boardmeeting Packet&amp;R&amp;"Arial,Bold"&amp;8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63"/>
  <sheetViews>
    <sheetView showZeros="0" tabSelected="1" zoomScale="103" zoomScaleNormal="103" workbookViewId="0" topLeftCell="A1">
      <pane xSplit="4" ySplit="4" topLeftCell="E98" activePane="bottomRight" state="frozen"/>
      <selection pane="topRight" activeCell="E1" sqref="E1"/>
      <selection pane="bottomLeft" activeCell="A5" sqref="A5"/>
      <selection pane="bottomRight" activeCell="M111" sqref="M111"/>
    </sheetView>
  </sheetViews>
  <sheetFormatPr defaultColWidth="8.8515625" defaultRowHeight="15"/>
  <cols>
    <col min="1" max="1" width="1.421875" style="0" customWidth="1"/>
    <col min="2" max="3" width="1.7109375" style="0" customWidth="1"/>
    <col min="4" max="4" width="30.8515625" style="0" customWidth="1"/>
    <col min="5" max="5" width="8.140625" style="0" customWidth="1"/>
    <col min="6" max="6" width="8.421875" style="0" customWidth="1"/>
    <col min="7" max="7" width="8.421875" style="0" bestFit="1" customWidth="1"/>
    <col min="8" max="8" width="7.140625" style="0" bestFit="1" customWidth="1"/>
    <col min="9" max="9" width="7.28125" style="0" customWidth="1"/>
    <col min="10" max="10" width="8.140625" style="0" customWidth="1"/>
    <col min="11" max="11" width="8.421875" style="0" bestFit="1" customWidth="1"/>
    <col min="12" max="14" width="7.8515625" style="0" customWidth="1"/>
    <col min="15" max="15" width="7.8515625" style="0" bestFit="1" customWidth="1"/>
    <col min="16" max="16" width="9.00390625" style="0" bestFit="1" customWidth="1"/>
    <col min="17" max="17" width="0.85546875" style="0" customWidth="1"/>
    <col min="18" max="18" width="7.7109375" style="0" customWidth="1"/>
    <col min="19" max="19" width="8.8515625" style="0" customWidth="1"/>
    <col min="20" max="20" width="8.140625" style="86" bestFit="1" customWidth="1"/>
    <col min="21" max="21" width="5.7109375" style="0" customWidth="1"/>
    <col min="23" max="23" width="8.8515625" style="86" customWidth="1"/>
    <col min="29" max="29" width="3.7109375" style="0" customWidth="1"/>
    <col min="30" max="30" width="4.57421875" style="0" customWidth="1"/>
    <col min="31" max="31" width="39.421875" style="0" bestFit="1" customWidth="1"/>
  </cols>
  <sheetData>
    <row r="1" spans="1:21" ht="15">
      <c r="A1" s="18"/>
      <c r="B1" s="18"/>
      <c r="C1" s="18"/>
      <c r="D1" s="36" t="s">
        <v>145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85" t="s">
        <v>279</v>
      </c>
      <c r="T1" s="85"/>
      <c r="U1" s="19"/>
    </row>
    <row r="2" spans="1:21" s="86" customFormat="1" ht="15">
      <c r="A2" s="18"/>
      <c r="B2" s="18"/>
      <c r="C2" s="18"/>
      <c r="D2" s="138" t="s">
        <v>196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5.75" thickBot="1">
      <c r="A3" s="18"/>
      <c r="B3" s="18"/>
      <c r="C3" s="18"/>
      <c r="D3" s="138" t="s">
        <v>217</v>
      </c>
      <c r="E3" s="211" t="s">
        <v>278</v>
      </c>
      <c r="F3" s="212"/>
      <c r="G3" s="212"/>
      <c r="H3" s="212"/>
      <c r="I3" s="212"/>
      <c r="J3" s="212"/>
      <c r="K3" s="213"/>
      <c r="L3" s="178" t="s">
        <v>277</v>
      </c>
      <c r="M3" s="178"/>
      <c r="N3" s="178"/>
      <c r="O3" s="192"/>
      <c r="P3" s="193"/>
      <c r="Q3" s="19"/>
      <c r="R3" s="19"/>
      <c r="S3" s="143" t="s">
        <v>222</v>
      </c>
      <c r="T3" s="85"/>
      <c r="U3" s="19"/>
    </row>
    <row r="4" spans="1:21" ht="47.25" thickBot="1" thickTop="1">
      <c r="A4" s="17"/>
      <c r="B4" s="17"/>
      <c r="C4" s="17"/>
      <c r="D4" s="37"/>
      <c r="E4" s="205" t="s">
        <v>154</v>
      </c>
      <c r="F4" s="205" t="s">
        <v>155</v>
      </c>
      <c r="G4" s="205" t="s">
        <v>156</v>
      </c>
      <c r="H4" s="205" t="s">
        <v>157</v>
      </c>
      <c r="I4" s="205" t="s">
        <v>158</v>
      </c>
      <c r="J4" s="205" t="s">
        <v>159</v>
      </c>
      <c r="K4" s="205" t="s">
        <v>160</v>
      </c>
      <c r="L4" s="190" t="s">
        <v>161</v>
      </c>
      <c r="M4" s="190" t="s">
        <v>162</v>
      </c>
      <c r="N4" s="190" t="s">
        <v>163</v>
      </c>
      <c r="O4" s="191" t="s">
        <v>164</v>
      </c>
      <c r="P4" s="191" t="s">
        <v>165</v>
      </c>
      <c r="Q4" s="62" t="s">
        <v>143</v>
      </c>
      <c r="R4" s="161" t="s">
        <v>211</v>
      </c>
      <c r="S4" s="144" t="s">
        <v>223</v>
      </c>
      <c r="T4" s="153" t="s">
        <v>166</v>
      </c>
      <c r="U4" s="37" t="s">
        <v>212</v>
      </c>
    </row>
    <row r="5" spans="1:21" ht="15.75" thickTop="1">
      <c r="A5" s="1"/>
      <c r="B5" s="1"/>
      <c r="C5" s="1" t="s">
        <v>34</v>
      </c>
      <c r="D5" s="1"/>
      <c r="E5" s="194"/>
      <c r="F5" s="194"/>
      <c r="G5" s="194"/>
      <c r="H5" s="194"/>
      <c r="I5" s="194"/>
      <c r="J5" s="194"/>
      <c r="K5" s="194"/>
      <c r="L5" s="179"/>
      <c r="M5" s="179"/>
      <c r="N5" s="179"/>
      <c r="O5" s="38"/>
      <c r="P5" s="38"/>
      <c r="Q5" s="38"/>
      <c r="R5" s="162"/>
      <c r="S5" s="130"/>
      <c r="T5" s="154"/>
      <c r="U5" s="39"/>
    </row>
    <row r="6" spans="1:21" ht="15">
      <c r="A6" s="1"/>
      <c r="B6" s="1"/>
      <c r="C6" s="1"/>
      <c r="D6" s="40" t="s">
        <v>35</v>
      </c>
      <c r="E6" s="195">
        <v>858.4</v>
      </c>
      <c r="F6" s="195">
        <v>139.25</v>
      </c>
      <c r="G6" s="195">
        <v>276.75</v>
      </c>
      <c r="H6" s="195">
        <v>1326.15</v>
      </c>
      <c r="I6" s="195">
        <v>2098.65</v>
      </c>
      <c r="J6" s="195">
        <v>3920.15</v>
      </c>
      <c r="K6" s="195">
        <v>2491</v>
      </c>
      <c r="L6" s="180">
        <v>1331.55</v>
      </c>
      <c r="M6" s="180">
        <v>1136.4</v>
      </c>
      <c r="N6" s="180">
        <v>3791.6666666666665</v>
      </c>
      <c r="O6" s="41">
        <v>3791.6666666666665</v>
      </c>
      <c r="P6" s="41">
        <f>39759.6666666667-314</f>
        <v>39445.6666666667</v>
      </c>
      <c r="Q6" s="41"/>
      <c r="R6" s="163">
        <f>SUM(E6:P6)</f>
        <v>60607.30000000003</v>
      </c>
      <c r="S6" s="145">
        <v>57921.630000000034</v>
      </c>
      <c r="T6" s="155">
        <f>+R6-S6</f>
        <v>2685.6699999999983</v>
      </c>
      <c r="U6" s="42">
        <f>+R6/S6</f>
        <v>1.046367306997403</v>
      </c>
    </row>
    <row r="7" spans="1:21" ht="15">
      <c r="A7" s="1"/>
      <c r="B7" s="1"/>
      <c r="C7" s="1"/>
      <c r="D7" s="43" t="s">
        <v>36</v>
      </c>
      <c r="E7" s="195">
        <v>25.5</v>
      </c>
      <c r="F7" s="195">
        <v>30</v>
      </c>
      <c r="G7" s="195">
        <v>19</v>
      </c>
      <c r="H7" s="195">
        <v>42.5</v>
      </c>
      <c r="I7" s="195">
        <v>212.5</v>
      </c>
      <c r="J7" s="195">
        <v>193</v>
      </c>
      <c r="K7" s="195">
        <v>35</v>
      </c>
      <c r="L7" s="180">
        <v>53</v>
      </c>
      <c r="M7" s="180">
        <v>57.75</v>
      </c>
      <c r="N7" s="180">
        <v>166.66666666666666</v>
      </c>
      <c r="O7" s="41">
        <v>166.66666666666666</v>
      </c>
      <c r="P7" s="41">
        <f>166.666666666667+12</f>
        <v>178.666666666667</v>
      </c>
      <c r="Q7" s="41"/>
      <c r="R7" s="163">
        <f aca="true" t="shared" si="0" ref="R7:R42">SUM(E7:P7)</f>
        <v>1180.2500000000002</v>
      </c>
      <c r="S7" s="145">
        <v>1011.7500000000002</v>
      </c>
      <c r="T7" s="155">
        <f aca="true" t="shared" si="1" ref="T7:T40">+R7-S7</f>
        <v>168.5</v>
      </c>
      <c r="U7" s="42">
        <f aca="true" t="shared" si="2" ref="U7:U40">+R7/S7</f>
        <v>1.1665431183592785</v>
      </c>
    </row>
    <row r="8" spans="1:21" ht="15">
      <c r="A8" s="1"/>
      <c r="B8" s="1"/>
      <c r="C8" s="1"/>
      <c r="D8" s="43" t="s">
        <v>37</v>
      </c>
      <c r="E8" s="195">
        <v>40</v>
      </c>
      <c r="F8" s="195">
        <v>20</v>
      </c>
      <c r="G8" s="195">
        <v>60</v>
      </c>
      <c r="H8" s="195">
        <v>40</v>
      </c>
      <c r="I8" s="195">
        <v>180</v>
      </c>
      <c r="J8" s="195">
        <v>540</v>
      </c>
      <c r="K8" s="195">
        <v>100</v>
      </c>
      <c r="L8" s="180">
        <v>40</v>
      </c>
      <c r="M8" s="180">
        <v>580</v>
      </c>
      <c r="N8" s="180">
        <v>416.6666666666667</v>
      </c>
      <c r="O8" s="41">
        <v>416.6666666666667</v>
      </c>
      <c r="P8" s="41">
        <f>416.666666666667+60</f>
        <v>476.666666666667</v>
      </c>
      <c r="Q8" s="41"/>
      <c r="R8" s="163">
        <f t="shared" si="0"/>
        <v>2910.0000000000005</v>
      </c>
      <c r="S8" s="145">
        <v>2850</v>
      </c>
      <c r="T8" s="155">
        <f t="shared" si="1"/>
        <v>60.000000000000455</v>
      </c>
      <c r="U8" s="42">
        <f t="shared" si="2"/>
        <v>1.0210526315789474</v>
      </c>
    </row>
    <row r="9" spans="1:21" ht="15">
      <c r="A9" s="1"/>
      <c r="B9" s="1"/>
      <c r="C9" s="1"/>
      <c r="D9" s="43" t="s">
        <v>38</v>
      </c>
      <c r="E9" s="195">
        <v>0</v>
      </c>
      <c r="F9" s="195">
        <v>0</v>
      </c>
      <c r="G9" s="195">
        <v>0</v>
      </c>
      <c r="H9" s="195"/>
      <c r="I9" s="195">
        <v>60</v>
      </c>
      <c r="J9" s="195">
        <v>0</v>
      </c>
      <c r="K9" s="195">
        <v>60</v>
      </c>
      <c r="L9" s="180">
        <v>0</v>
      </c>
      <c r="M9" s="180">
        <v>90</v>
      </c>
      <c r="N9" s="180">
        <v>0</v>
      </c>
      <c r="O9" s="41">
        <v>83.33333333333333</v>
      </c>
      <c r="P9" s="41">
        <f>83.3333333333333+60</f>
        <v>143.33333333333331</v>
      </c>
      <c r="Q9" s="41"/>
      <c r="R9" s="163">
        <f t="shared" si="0"/>
        <v>436.66666666666663</v>
      </c>
      <c r="S9" s="145">
        <v>376.66666666666663</v>
      </c>
      <c r="T9" s="155">
        <f t="shared" si="1"/>
        <v>60</v>
      </c>
      <c r="U9" s="42">
        <f t="shared" si="2"/>
        <v>1.1592920353982301</v>
      </c>
    </row>
    <row r="10" spans="1:21" ht="15">
      <c r="A10" s="1"/>
      <c r="B10" s="1"/>
      <c r="C10" s="1"/>
      <c r="D10" s="43" t="s">
        <v>39</v>
      </c>
      <c r="E10" s="195">
        <v>0</v>
      </c>
      <c r="F10" s="195">
        <v>0</v>
      </c>
      <c r="G10" s="195">
        <v>500</v>
      </c>
      <c r="H10" s="195">
        <v>500</v>
      </c>
      <c r="I10" s="195">
        <v>1000</v>
      </c>
      <c r="J10" s="195">
        <v>1000</v>
      </c>
      <c r="K10" s="195">
        <v>0</v>
      </c>
      <c r="L10" s="180">
        <v>0</v>
      </c>
      <c r="M10" s="180">
        <v>0</v>
      </c>
      <c r="N10" s="180">
        <v>291.6666666666667</v>
      </c>
      <c r="O10" s="41">
        <v>291.6666666666667</v>
      </c>
      <c r="P10" s="41">
        <v>291.6666666666667</v>
      </c>
      <c r="Q10" s="41"/>
      <c r="R10" s="163">
        <f t="shared" si="0"/>
        <v>3874.9999999999995</v>
      </c>
      <c r="S10" s="145">
        <v>4375</v>
      </c>
      <c r="T10" s="155">
        <f t="shared" si="1"/>
        <v>-500.00000000000045</v>
      </c>
      <c r="U10" s="42">
        <f t="shared" si="2"/>
        <v>0.8857142857142856</v>
      </c>
    </row>
    <row r="11" spans="1:21" ht="15">
      <c r="A11" s="1"/>
      <c r="B11" s="1"/>
      <c r="C11" s="1"/>
      <c r="D11" s="43" t="s">
        <v>40</v>
      </c>
      <c r="E11" s="195">
        <v>206.5</v>
      </c>
      <c r="F11" s="195">
        <v>180</v>
      </c>
      <c r="G11" s="195">
        <v>99</v>
      </c>
      <c r="H11" s="195">
        <v>650.5</v>
      </c>
      <c r="I11" s="195">
        <v>755</v>
      </c>
      <c r="J11" s="195">
        <v>2819.5</v>
      </c>
      <c r="K11" s="195">
        <v>552</v>
      </c>
      <c r="L11" s="180">
        <v>424.5</v>
      </c>
      <c r="M11" s="180">
        <v>546.5</v>
      </c>
      <c r="N11" s="180">
        <v>1333.3333333333333</v>
      </c>
      <c r="O11" s="41">
        <v>1333.3333333333333</v>
      </c>
      <c r="P11" s="41">
        <f>1333.33333333333-449</f>
        <v>884.3333333333301</v>
      </c>
      <c r="Q11" s="41"/>
      <c r="R11" s="163">
        <f t="shared" si="0"/>
        <v>9784.499999999996</v>
      </c>
      <c r="S11" s="145">
        <v>7228.499999999996</v>
      </c>
      <c r="T11" s="155">
        <f t="shared" si="1"/>
        <v>2556</v>
      </c>
      <c r="U11" s="42">
        <f t="shared" si="2"/>
        <v>1.3536003320190912</v>
      </c>
    </row>
    <row r="12" spans="1:21" ht="15">
      <c r="A12" s="1"/>
      <c r="B12" s="1"/>
      <c r="C12" s="1"/>
      <c r="D12" s="43" t="s">
        <v>41</v>
      </c>
      <c r="E12" s="195">
        <v>0</v>
      </c>
      <c r="F12" s="195">
        <v>0</v>
      </c>
      <c r="G12" s="195">
        <v>0</v>
      </c>
      <c r="H12" s="195">
        <v>40</v>
      </c>
      <c r="I12" s="195">
        <v>120</v>
      </c>
      <c r="J12" s="195">
        <v>80</v>
      </c>
      <c r="K12" s="195">
        <v>40</v>
      </c>
      <c r="L12" s="180">
        <v>0</v>
      </c>
      <c r="M12" s="180">
        <v>120</v>
      </c>
      <c r="N12" s="180">
        <v>125</v>
      </c>
      <c r="O12" s="41">
        <v>125</v>
      </c>
      <c r="P12" s="41">
        <f>125+80</f>
        <v>205</v>
      </c>
      <c r="Q12" s="41"/>
      <c r="R12" s="163">
        <f t="shared" si="0"/>
        <v>855</v>
      </c>
      <c r="S12" s="145">
        <v>775</v>
      </c>
      <c r="T12" s="155">
        <f t="shared" si="1"/>
        <v>80</v>
      </c>
      <c r="U12" s="42">
        <f t="shared" si="2"/>
        <v>1.103225806451613</v>
      </c>
    </row>
    <row r="13" spans="1:21" ht="15">
      <c r="A13" s="1"/>
      <c r="B13" s="1"/>
      <c r="C13" s="1"/>
      <c r="D13" s="43" t="s">
        <v>218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3325</v>
      </c>
      <c r="K13" s="195">
        <v>350</v>
      </c>
      <c r="L13" s="180">
        <f>45000-38475</f>
        <v>6525</v>
      </c>
      <c r="M13" s="180">
        <v>2550</v>
      </c>
      <c r="N13" s="180">
        <v>14000</v>
      </c>
      <c r="O13" s="41">
        <v>18250</v>
      </c>
      <c r="P13" s="41">
        <v>0</v>
      </c>
      <c r="Q13" s="41"/>
      <c r="R13" s="163">
        <f t="shared" si="0"/>
        <v>45000</v>
      </c>
      <c r="S13" s="145">
        <v>45000</v>
      </c>
      <c r="T13" s="155">
        <f t="shared" si="1"/>
        <v>0</v>
      </c>
      <c r="U13" s="42">
        <f t="shared" si="2"/>
        <v>1</v>
      </c>
    </row>
    <row r="14" spans="1:21" ht="15">
      <c r="A14" s="1"/>
      <c r="B14" s="1"/>
      <c r="C14" s="1"/>
      <c r="D14" s="43" t="s">
        <v>42</v>
      </c>
      <c r="E14" s="195">
        <v>37615</v>
      </c>
      <c r="F14" s="195">
        <v>225</v>
      </c>
      <c r="G14" s="195">
        <v>27610</v>
      </c>
      <c r="H14" s="195">
        <v>62521</v>
      </c>
      <c r="I14" s="195">
        <v>149819</v>
      </c>
      <c r="J14" s="195">
        <v>346505</v>
      </c>
      <c r="K14" s="195">
        <f>312292+374</f>
        <v>312666</v>
      </c>
      <c r="L14" s="180">
        <v>521653</v>
      </c>
      <c r="M14" s="180">
        <f>466861+40000</f>
        <v>506861</v>
      </c>
      <c r="N14" s="180">
        <v>79735</v>
      </c>
      <c r="O14" s="41">
        <v>104595</v>
      </c>
      <c r="P14" s="41">
        <f>26455+42829</f>
        <v>69284</v>
      </c>
      <c r="Q14" s="41"/>
      <c r="R14" s="163">
        <f t="shared" si="0"/>
        <v>2219089</v>
      </c>
      <c r="S14" s="145">
        <v>2219050.45</v>
      </c>
      <c r="T14" s="155">
        <f t="shared" si="1"/>
        <v>38.549999999813735</v>
      </c>
      <c r="U14" s="42">
        <f t="shared" si="2"/>
        <v>1.0000173722954337</v>
      </c>
    </row>
    <row r="15" spans="1:21" ht="15">
      <c r="A15" s="1"/>
      <c r="B15" s="1"/>
      <c r="C15" s="1"/>
      <c r="D15" s="43" t="s">
        <v>43</v>
      </c>
      <c r="E15" s="195">
        <v>0</v>
      </c>
      <c r="F15" s="195">
        <v>0</v>
      </c>
      <c r="G15" s="195">
        <v>26005</v>
      </c>
      <c r="H15" s="195">
        <v>40770</v>
      </c>
      <c r="I15" s="195">
        <v>23120</v>
      </c>
      <c r="J15" s="195">
        <v>26220</v>
      </c>
      <c r="K15" s="195">
        <v>4080</v>
      </c>
      <c r="L15" s="180"/>
      <c r="M15" s="180"/>
      <c r="N15" s="180"/>
      <c r="O15" s="41"/>
      <c r="P15" s="41">
        <v>0</v>
      </c>
      <c r="Q15" s="41"/>
      <c r="R15" s="163">
        <f t="shared" si="0"/>
        <v>120195</v>
      </c>
      <c r="S15" s="145">
        <v>105999.79000000001</v>
      </c>
      <c r="T15" s="155">
        <f t="shared" si="1"/>
        <v>14195.209999999992</v>
      </c>
      <c r="U15" s="42">
        <f t="shared" si="2"/>
        <v>1.1339173407796372</v>
      </c>
    </row>
    <row r="16" spans="1:21" ht="15">
      <c r="A16" s="1"/>
      <c r="B16" s="1"/>
      <c r="C16" s="1"/>
      <c r="D16" s="43" t="s">
        <v>44</v>
      </c>
      <c r="E16" s="195">
        <v>0</v>
      </c>
      <c r="F16" s="195">
        <v>0</v>
      </c>
      <c r="G16" s="195">
        <v>0</v>
      </c>
      <c r="H16" s="195"/>
      <c r="I16" s="195">
        <v>0</v>
      </c>
      <c r="J16" s="195">
        <v>0</v>
      </c>
      <c r="K16" s="195">
        <v>0</v>
      </c>
      <c r="L16" s="180">
        <v>3000</v>
      </c>
      <c r="M16" s="180">
        <v>5900</v>
      </c>
      <c r="N16" s="180">
        <v>600</v>
      </c>
      <c r="O16" s="41">
        <v>0</v>
      </c>
      <c r="P16" s="41">
        <v>0</v>
      </c>
      <c r="Q16" s="41"/>
      <c r="R16" s="163">
        <f t="shared" si="0"/>
        <v>9500</v>
      </c>
      <c r="S16" s="145">
        <v>12500</v>
      </c>
      <c r="T16" s="155">
        <f t="shared" si="1"/>
        <v>-3000</v>
      </c>
      <c r="U16" s="42">
        <f t="shared" si="2"/>
        <v>0.76</v>
      </c>
    </row>
    <row r="17" spans="1:21" ht="15">
      <c r="A17" s="1"/>
      <c r="B17" s="1"/>
      <c r="C17" s="1"/>
      <c r="D17" s="43" t="s">
        <v>45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500</v>
      </c>
      <c r="L17" s="180">
        <v>0</v>
      </c>
      <c r="M17" s="180">
        <v>0</v>
      </c>
      <c r="N17" s="180">
        <v>0</v>
      </c>
      <c r="O17" s="41">
        <v>0</v>
      </c>
      <c r="P17" s="41">
        <v>0</v>
      </c>
      <c r="Q17" s="41"/>
      <c r="R17" s="163">
        <f t="shared" si="0"/>
        <v>500</v>
      </c>
      <c r="S17" s="145">
        <v>0</v>
      </c>
      <c r="T17" s="155">
        <f t="shared" si="1"/>
        <v>500</v>
      </c>
      <c r="U17" s="42">
        <v>0</v>
      </c>
    </row>
    <row r="18" spans="1:21" ht="15">
      <c r="A18" s="1"/>
      <c r="B18" s="1"/>
      <c r="C18" s="1"/>
      <c r="D18" s="43" t="s">
        <v>46</v>
      </c>
      <c r="E18" s="195">
        <v>0</v>
      </c>
      <c r="F18" s="195">
        <v>0</v>
      </c>
      <c r="G18" s="195">
        <v>0</v>
      </c>
      <c r="H18" s="195">
        <v>2050</v>
      </c>
      <c r="I18" s="195">
        <v>16000</v>
      </c>
      <c r="J18" s="195">
        <v>7750</v>
      </c>
      <c r="K18" s="195">
        <v>6150</v>
      </c>
      <c r="L18" s="180">
        <f>39150-34175</f>
        <v>4975</v>
      </c>
      <c r="M18" s="180">
        <v>1825</v>
      </c>
      <c r="N18" s="180">
        <v>400</v>
      </c>
      <c r="O18" s="41">
        <v>0</v>
      </c>
      <c r="P18" s="41">
        <v>0</v>
      </c>
      <c r="Q18" s="41"/>
      <c r="R18" s="163">
        <f t="shared" si="0"/>
        <v>39150</v>
      </c>
      <c r="S18" s="145">
        <v>37500</v>
      </c>
      <c r="T18" s="155">
        <f t="shared" si="1"/>
        <v>1650</v>
      </c>
      <c r="U18" s="42">
        <f t="shared" si="2"/>
        <v>1.044</v>
      </c>
    </row>
    <row r="19" spans="1:21" ht="15">
      <c r="A19" s="1"/>
      <c r="B19" s="1"/>
      <c r="C19" s="1"/>
      <c r="D19" s="43" t="s">
        <v>219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1300</v>
      </c>
      <c r="K19" s="195">
        <v>200</v>
      </c>
      <c r="L19" s="180">
        <f>39850-19000</f>
        <v>20850</v>
      </c>
      <c r="M19" s="180">
        <v>17500</v>
      </c>
      <c r="N19" s="180">
        <v>0</v>
      </c>
      <c r="O19" s="41">
        <v>0</v>
      </c>
      <c r="P19" s="41">
        <v>0</v>
      </c>
      <c r="Q19" s="41"/>
      <c r="R19" s="163">
        <f t="shared" si="0"/>
        <v>39850</v>
      </c>
      <c r="S19" s="145">
        <v>37000</v>
      </c>
      <c r="T19" s="155">
        <f t="shared" si="1"/>
        <v>2850</v>
      </c>
      <c r="U19" s="42">
        <f t="shared" si="2"/>
        <v>1.077027027027027</v>
      </c>
    </row>
    <row r="20" spans="1:21" ht="15">
      <c r="A20" s="1"/>
      <c r="B20" s="1"/>
      <c r="C20" s="1"/>
      <c r="D20" s="43" t="s">
        <v>220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1200</v>
      </c>
      <c r="K20" s="195">
        <v>600</v>
      </c>
      <c r="L20" s="180">
        <f>39300-13800</f>
        <v>25500</v>
      </c>
      <c r="M20" s="180">
        <v>12000</v>
      </c>
      <c r="N20" s="180">
        <v>0</v>
      </c>
      <c r="O20" s="41">
        <v>0</v>
      </c>
      <c r="P20" s="41">
        <v>0</v>
      </c>
      <c r="Q20" s="41"/>
      <c r="R20" s="163">
        <f t="shared" si="0"/>
        <v>39300</v>
      </c>
      <c r="S20" s="145">
        <v>40000</v>
      </c>
      <c r="T20" s="155">
        <f t="shared" si="1"/>
        <v>-700</v>
      </c>
      <c r="U20" s="42">
        <f t="shared" si="2"/>
        <v>0.9825</v>
      </c>
    </row>
    <row r="21" spans="1:21" s="86" customFormat="1" ht="15">
      <c r="A21" s="1"/>
      <c r="B21" s="1"/>
      <c r="C21" s="1"/>
      <c r="D21" s="43" t="s">
        <v>273</v>
      </c>
      <c r="E21" s="195"/>
      <c r="F21" s="195"/>
      <c r="G21" s="195"/>
      <c r="H21" s="195"/>
      <c r="I21" s="195"/>
      <c r="J21" s="195">
        <v>280</v>
      </c>
      <c r="K21" s="195">
        <v>480</v>
      </c>
      <c r="L21" s="180">
        <f>4480-760</f>
        <v>3720</v>
      </c>
      <c r="M21" s="180"/>
      <c r="N21" s="180"/>
      <c r="O21" s="41"/>
      <c r="P21" s="41"/>
      <c r="Q21" s="41"/>
      <c r="R21" s="163">
        <f aca="true" t="shared" si="3" ref="R21">SUM(E21:P21)</f>
        <v>4480</v>
      </c>
      <c r="S21" s="145">
        <v>0</v>
      </c>
      <c r="T21" s="155">
        <f aca="true" t="shared" si="4" ref="T21">+R21-S21</f>
        <v>4480</v>
      </c>
      <c r="U21" s="42">
        <v>1</v>
      </c>
    </row>
    <row r="22" spans="1:21" ht="15">
      <c r="A22" s="1"/>
      <c r="B22" s="1"/>
      <c r="C22" s="1"/>
      <c r="D22" s="43" t="s">
        <v>47</v>
      </c>
      <c r="E22" s="195">
        <v>20.4</v>
      </c>
      <c r="F22" s="195">
        <v>65.58</v>
      </c>
      <c r="G22" s="195">
        <v>80.14</v>
      </c>
      <c r="H22" s="195">
        <v>10.25</v>
      </c>
      <c r="I22" s="195">
        <v>0</v>
      </c>
      <c r="J22" s="195">
        <v>550</v>
      </c>
      <c r="K22" s="195">
        <v>100</v>
      </c>
      <c r="L22" s="180">
        <v>20</v>
      </c>
      <c r="M22" s="180">
        <v>25</v>
      </c>
      <c r="N22" s="180">
        <v>34</v>
      </c>
      <c r="O22" s="41">
        <v>0</v>
      </c>
      <c r="P22" s="41">
        <v>0</v>
      </c>
      <c r="Q22" s="41"/>
      <c r="R22" s="163">
        <f t="shared" si="0"/>
        <v>905.37</v>
      </c>
      <c r="S22" s="145">
        <v>300.17</v>
      </c>
      <c r="T22" s="155">
        <f t="shared" si="1"/>
        <v>605.2</v>
      </c>
      <c r="U22" s="42">
        <f t="shared" si="2"/>
        <v>3.016190825199054</v>
      </c>
    </row>
    <row r="23" spans="1:21" ht="15">
      <c r="A23" s="1"/>
      <c r="B23" s="1"/>
      <c r="C23" s="1"/>
      <c r="D23" s="43" t="s">
        <v>48</v>
      </c>
      <c r="E23" s="195">
        <v>72</v>
      </c>
      <c r="F23" s="195">
        <v>1338.8</v>
      </c>
      <c r="G23" s="195">
        <v>837</v>
      </c>
      <c r="H23" s="195">
        <v>-150</v>
      </c>
      <c r="I23" s="195">
        <v>12</v>
      </c>
      <c r="J23" s="195">
        <v>0</v>
      </c>
      <c r="K23" s="195">
        <v>109</v>
      </c>
      <c r="L23" s="180">
        <v>135</v>
      </c>
      <c r="M23" s="180">
        <v>6538</v>
      </c>
      <c r="N23" s="180">
        <v>2433</v>
      </c>
      <c r="O23" s="41">
        <v>0</v>
      </c>
      <c r="P23" s="41">
        <v>175</v>
      </c>
      <c r="Q23" s="41"/>
      <c r="R23" s="163">
        <f t="shared" si="0"/>
        <v>11499.8</v>
      </c>
      <c r="S23" s="145">
        <v>11500</v>
      </c>
      <c r="T23" s="155">
        <f t="shared" si="1"/>
        <v>-0.2000000000007276</v>
      </c>
      <c r="U23" s="42">
        <f t="shared" si="2"/>
        <v>0.9999826086956521</v>
      </c>
    </row>
    <row r="24" spans="1:21" ht="15">
      <c r="A24" s="1"/>
      <c r="B24" s="1"/>
      <c r="C24" s="1"/>
      <c r="D24" s="43" t="s">
        <v>49</v>
      </c>
      <c r="E24" s="195">
        <v>0</v>
      </c>
      <c r="F24" s="195">
        <v>0</v>
      </c>
      <c r="G24" s="195">
        <v>501.94</v>
      </c>
      <c r="H24" s="195">
        <v>56.7</v>
      </c>
      <c r="I24" s="195">
        <v>188</v>
      </c>
      <c r="J24" s="195">
        <v>0</v>
      </c>
      <c r="K24" s="195">
        <v>103</v>
      </c>
      <c r="L24" s="180">
        <v>49</v>
      </c>
      <c r="M24" s="180">
        <f>14382.17-518</f>
        <v>13864.17</v>
      </c>
      <c r="N24" s="180">
        <f>162+75</f>
        <v>237</v>
      </c>
      <c r="O24" s="41"/>
      <c r="P24" s="41">
        <v>0</v>
      </c>
      <c r="Q24" s="41"/>
      <c r="R24" s="163">
        <f t="shared" si="0"/>
        <v>14999.81</v>
      </c>
      <c r="S24" s="145">
        <v>15000.17</v>
      </c>
      <c r="T24" s="155">
        <f t="shared" si="1"/>
        <v>-0.3600000000005821</v>
      </c>
      <c r="U24" s="42">
        <f t="shared" si="2"/>
        <v>0.9999760002719968</v>
      </c>
    </row>
    <row r="25" spans="1:21" ht="15">
      <c r="A25" s="1"/>
      <c r="B25" s="1"/>
      <c r="C25" s="1"/>
      <c r="D25" s="43" t="s">
        <v>221</v>
      </c>
      <c r="E25" s="195">
        <v>0</v>
      </c>
      <c r="F25" s="195">
        <v>0</v>
      </c>
      <c r="G25" s="195">
        <v>682</v>
      </c>
      <c r="H25" s="195">
        <v>0</v>
      </c>
      <c r="I25" s="195">
        <v>47</v>
      </c>
      <c r="J25" s="195">
        <v>0</v>
      </c>
      <c r="K25" s="195">
        <v>245</v>
      </c>
      <c r="L25" s="180">
        <v>0</v>
      </c>
      <c r="M25" s="180">
        <v>194</v>
      </c>
      <c r="N25" s="180">
        <v>332</v>
      </c>
      <c r="O25" s="41">
        <v>0</v>
      </c>
      <c r="P25" s="41"/>
      <c r="Q25" s="41"/>
      <c r="R25" s="163">
        <f t="shared" si="0"/>
        <v>1500</v>
      </c>
      <c r="S25" s="145">
        <v>1500</v>
      </c>
      <c r="T25" s="155">
        <f t="shared" si="1"/>
        <v>0</v>
      </c>
      <c r="U25" s="42">
        <f t="shared" si="2"/>
        <v>1</v>
      </c>
    </row>
    <row r="26" spans="1:21" ht="15">
      <c r="A26" s="1"/>
      <c r="B26" s="1"/>
      <c r="C26" s="1"/>
      <c r="D26" s="43" t="s">
        <v>50</v>
      </c>
      <c r="E26" s="195">
        <v>0</v>
      </c>
      <c r="F26" s="195">
        <v>0</v>
      </c>
      <c r="G26" s="195">
        <v>0</v>
      </c>
      <c r="H26" s="195">
        <v>0</v>
      </c>
      <c r="I26" s="195">
        <v>5000</v>
      </c>
      <c r="J26" s="195">
        <v>53000</v>
      </c>
      <c r="K26" s="195">
        <v>19720</v>
      </c>
      <c r="L26" s="180">
        <f>202500-117570</f>
        <v>84930</v>
      </c>
      <c r="M26" s="180">
        <f>37520+2330</f>
        <v>39850</v>
      </c>
      <c r="N26" s="180"/>
      <c r="O26" s="41">
        <v>0</v>
      </c>
      <c r="P26" s="41">
        <v>0</v>
      </c>
      <c r="Q26" s="41"/>
      <c r="R26" s="163">
        <f t="shared" si="0"/>
        <v>202500</v>
      </c>
      <c r="S26" s="145">
        <v>102000</v>
      </c>
      <c r="T26" s="155">
        <f t="shared" si="1"/>
        <v>100500</v>
      </c>
      <c r="U26" s="42">
        <f t="shared" si="2"/>
        <v>1.9852941176470589</v>
      </c>
    </row>
    <row r="27" spans="1:21" ht="15">
      <c r="A27" s="1"/>
      <c r="B27" s="1"/>
      <c r="C27" s="1"/>
      <c r="D27" s="43" t="s">
        <v>51</v>
      </c>
      <c r="E27" s="195">
        <v>0</v>
      </c>
      <c r="F27" s="195">
        <v>0</v>
      </c>
      <c r="G27" s="195">
        <v>0</v>
      </c>
      <c r="H27" s="195">
        <v>0</v>
      </c>
      <c r="I27" s="195">
        <v>90</v>
      </c>
      <c r="J27" s="195">
        <v>86.05</v>
      </c>
      <c r="K27" s="195">
        <v>75</v>
      </c>
      <c r="L27" s="180">
        <v>0</v>
      </c>
      <c r="M27" s="180">
        <v>0</v>
      </c>
      <c r="N27" s="180">
        <v>50</v>
      </c>
      <c r="O27" s="41">
        <v>50</v>
      </c>
      <c r="P27" s="41">
        <f>80+25</f>
        <v>105</v>
      </c>
      <c r="Q27" s="41"/>
      <c r="R27" s="163">
        <f t="shared" si="0"/>
        <v>456.05</v>
      </c>
      <c r="S27" s="145">
        <v>250</v>
      </c>
      <c r="T27" s="155">
        <f t="shared" si="1"/>
        <v>206.05</v>
      </c>
      <c r="U27" s="42">
        <f t="shared" si="2"/>
        <v>1.8242</v>
      </c>
    </row>
    <row r="28" spans="1:21" ht="15">
      <c r="A28" s="1"/>
      <c r="B28" s="1"/>
      <c r="C28" s="1"/>
      <c r="D28" s="43" t="s">
        <v>52</v>
      </c>
      <c r="E28" s="195">
        <v>0</v>
      </c>
      <c r="F28" s="195">
        <v>504</v>
      </c>
      <c r="G28" s="195">
        <v>0</v>
      </c>
      <c r="H28" s="195">
        <v>361.6</v>
      </c>
      <c r="I28" s="195">
        <v>586.4</v>
      </c>
      <c r="J28" s="195">
        <v>0</v>
      </c>
      <c r="K28" s="195">
        <v>1165</v>
      </c>
      <c r="L28" s="180">
        <v>4960</v>
      </c>
      <c r="M28" s="180">
        <v>5914.262</v>
      </c>
      <c r="N28" s="180">
        <f>5012+1423</f>
        <v>6435</v>
      </c>
      <c r="O28" s="41">
        <v>0</v>
      </c>
      <c r="P28" s="41">
        <v>0</v>
      </c>
      <c r="Q28" s="41"/>
      <c r="R28" s="163">
        <f t="shared" si="0"/>
        <v>19926.262</v>
      </c>
      <c r="S28" s="145">
        <v>18999.612</v>
      </c>
      <c r="T28" s="155">
        <f t="shared" si="1"/>
        <v>926.6499999999978</v>
      </c>
      <c r="U28" s="42">
        <f t="shared" si="2"/>
        <v>1.0487720486081504</v>
      </c>
    </row>
    <row r="29" spans="1:21" ht="15">
      <c r="A29" s="1"/>
      <c r="B29" s="1"/>
      <c r="C29" s="1"/>
      <c r="D29" s="43" t="s">
        <v>53</v>
      </c>
      <c r="E29" s="195">
        <v>29170.2</v>
      </c>
      <c r="F29" s="195">
        <v>56053.55</v>
      </c>
      <c r="G29" s="195">
        <v>38146.96</v>
      </c>
      <c r="H29" s="195">
        <v>45213.54</v>
      </c>
      <c r="I29" s="195">
        <v>46869.81</v>
      </c>
      <c r="J29" s="195">
        <v>72932.02</v>
      </c>
      <c r="K29" s="195">
        <v>36337</v>
      </c>
      <c r="L29" s="180">
        <v>68911.86093</v>
      </c>
      <c r="M29" s="180">
        <v>65449.92093</v>
      </c>
      <c r="N29" s="180">
        <v>42553.60093</v>
      </c>
      <c r="O29" s="41">
        <v>59300.00745</v>
      </c>
      <c r="P29" s="41">
        <v>59348.13095</v>
      </c>
      <c r="Q29" s="41"/>
      <c r="R29" s="163">
        <f t="shared" si="0"/>
        <v>620286.6011900001</v>
      </c>
      <c r="S29" s="145">
        <v>652703.1777</v>
      </c>
      <c r="T29" s="155">
        <f t="shared" si="1"/>
        <v>-32416.576509999926</v>
      </c>
      <c r="U29" s="42">
        <f t="shared" si="2"/>
        <v>0.9503348878670551</v>
      </c>
    </row>
    <row r="30" spans="1:21" ht="15">
      <c r="A30" s="1"/>
      <c r="B30" s="1"/>
      <c r="C30" s="1"/>
      <c r="D30" s="43" t="s">
        <v>54</v>
      </c>
      <c r="E30" s="195">
        <v>0</v>
      </c>
      <c r="F30" s="195">
        <v>0</v>
      </c>
      <c r="G30" s="195">
        <v>0</v>
      </c>
      <c r="H30" s="195">
        <v>0</v>
      </c>
      <c r="I30" s="195">
        <v>1050</v>
      </c>
      <c r="J30" s="195">
        <v>500</v>
      </c>
      <c r="K30" s="195">
        <v>340</v>
      </c>
      <c r="L30" s="180">
        <v>0</v>
      </c>
      <c r="M30" s="180">
        <v>0</v>
      </c>
      <c r="N30" s="180">
        <v>0</v>
      </c>
      <c r="O30" s="41">
        <v>0</v>
      </c>
      <c r="P30" s="41">
        <v>0</v>
      </c>
      <c r="Q30" s="41"/>
      <c r="R30" s="163">
        <f t="shared" si="0"/>
        <v>1890</v>
      </c>
      <c r="S30" s="145">
        <v>0</v>
      </c>
      <c r="T30" s="155">
        <f t="shared" si="1"/>
        <v>1890</v>
      </c>
      <c r="U30" s="42">
        <v>1</v>
      </c>
    </row>
    <row r="31" spans="1:21" ht="15">
      <c r="A31" s="1"/>
      <c r="B31" s="1"/>
      <c r="C31" s="1"/>
      <c r="D31" s="43" t="s">
        <v>55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1550</v>
      </c>
      <c r="K31" s="195">
        <v>750</v>
      </c>
      <c r="L31" s="180">
        <f>2450+10380-11200</f>
        <v>1630</v>
      </c>
      <c r="M31" s="180">
        <v>5650</v>
      </c>
      <c r="N31" s="180">
        <v>3250</v>
      </c>
      <c r="O31" s="41">
        <v>0</v>
      </c>
      <c r="P31" s="41">
        <v>0</v>
      </c>
      <c r="Q31" s="41"/>
      <c r="R31" s="163">
        <f t="shared" si="0"/>
        <v>12830</v>
      </c>
      <c r="S31" s="145">
        <v>13000</v>
      </c>
      <c r="T31" s="155">
        <f t="shared" si="1"/>
        <v>-170</v>
      </c>
      <c r="U31" s="42">
        <f t="shared" si="2"/>
        <v>0.9869230769230769</v>
      </c>
    </row>
    <row r="32" spans="1:21" ht="15">
      <c r="A32" s="1"/>
      <c r="B32" s="1"/>
      <c r="C32" s="1"/>
      <c r="D32" s="43" t="s">
        <v>56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80">
        <v>0</v>
      </c>
      <c r="M32" s="180">
        <v>0</v>
      </c>
      <c r="N32" s="180">
        <v>49410</v>
      </c>
      <c r="O32" s="41">
        <v>0</v>
      </c>
      <c r="P32" s="41">
        <v>0</v>
      </c>
      <c r="Q32" s="41"/>
      <c r="R32" s="163">
        <f t="shared" si="0"/>
        <v>49410</v>
      </c>
      <c r="S32" s="145">
        <v>49410</v>
      </c>
      <c r="T32" s="155">
        <f t="shared" si="1"/>
        <v>0</v>
      </c>
      <c r="U32" s="42">
        <f t="shared" si="2"/>
        <v>1</v>
      </c>
    </row>
    <row r="33" spans="1:21" ht="15">
      <c r="A33" s="1"/>
      <c r="B33" s="1"/>
      <c r="C33" s="1"/>
      <c r="D33" s="43" t="s">
        <v>57</v>
      </c>
      <c r="E33" s="195">
        <v>0</v>
      </c>
      <c r="F33" s="195">
        <v>0</v>
      </c>
      <c r="G33" s="195">
        <v>0</v>
      </c>
      <c r="H33" s="195">
        <v>350</v>
      </c>
      <c r="I33" s="195">
        <v>0</v>
      </c>
      <c r="J33" s="195">
        <v>0</v>
      </c>
      <c r="K33" s="195">
        <v>0</v>
      </c>
      <c r="L33" s="180"/>
      <c r="M33" s="180">
        <v>350</v>
      </c>
      <c r="N33" s="180">
        <v>0</v>
      </c>
      <c r="O33" s="41">
        <v>0</v>
      </c>
      <c r="P33" s="41">
        <v>100</v>
      </c>
      <c r="Q33" s="41"/>
      <c r="R33" s="163">
        <f t="shared" si="0"/>
        <v>800</v>
      </c>
      <c r="S33" s="145">
        <v>800</v>
      </c>
      <c r="T33" s="155">
        <f t="shared" si="1"/>
        <v>0</v>
      </c>
      <c r="U33" s="42">
        <f t="shared" si="2"/>
        <v>1</v>
      </c>
    </row>
    <row r="34" spans="1:21" ht="15">
      <c r="A34" s="1"/>
      <c r="B34" s="1"/>
      <c r="C34" s="1"/>
      <c r="D34" s="43" t="s">
        <v>58</v>
      </c>
      <c r="E34" s="195">
        <v>69.75</v>
      </c>
      <c r="F34" s="195">
        <v>27.9</v>
      </c>
      <c r="G34" s="195">
        <v>69.75</v>
      </c>
      <c r="H34" s="195">
        <v>279</v>
      </c>
      <c r="I34" s="195">
        <v>350.6</v>
      </c>
      <c r="J34" s="195">
        <v>97.65</v>
      </c>
      <c r="K34" s="195">
        <v>111</v>
      </c>
      <c r="L34" s="180">
        <v>181.35</v>
      </c>
      <c r="M34" s="180">
        <v>23.66</v>
      </c>
      <c r="N34" s="180">
        <v>30</v>
      </c>
      <c r="O34" s="41">
        <v>80</v>
      </c>
      <c r="P34" s="41">
        <f>83.3333333333333+2548</f>
        <v>2631.3333333333335</v>
      </c>
      <c r="Q34" s="41"/>
      <c r="R34" s="163">
        <f t="shared" si="0"/>
        <v>3951.993333333334</v>
      </c>
      <c r="S34" s="145">
        <v>4161.993333333333</v>
      </c>
      <c r="T34" s="155">
        <f t="shared" si="1"/>
        <v>-209.9999999999991</v>
      </c>
      <c r="U34" s="42">
        <f t="shared" si="2"/>
        <v>0.9495434078862854</v>
      </c>
    </row>
    <row r="35" spans="1:21" ht="15">
      <c r="A35" s="1"/>
      <c r="B35" s="1"/>
      <c r="C35" s="1"/>
      <c r="D35" s="43" t="s">
        <v>59</v>
      </c>
      <c r="E35" s="195">
        <v>0</v>
      </c>
      <c r="F35" s="195">
        <v>0</v>
      </c>
      <c r="G35" s="195">
        <v>2.07</v>
      </c>
      <c r="H35" s="195">
        <v>0</v>
      </c>
      <c r="I35" s="195">
        <v>0</v>
      </c>
      <c r="J35" s="195">
        <v>0</v>
      </c>
      <c r="K35" s="195">
        <v>0</v>
      </c>
      <c r="L35" s="180">
        <v>0</v>
      </c>
      <c r="M35" s="180">
        <v>0</v>
      </c>
      <c r="N35" s="180">
        <v>0</v>
      </c>
      <c r="O35" s="41">
        <v>0</v>
      </c>
      <c r="P35" s="41">
        <v>4500</v>
      </c>
      <c r="Q35" s="41"/>
      <c r="R35" s="163">
        <f t="shared" si="0"/>
        <v>4502.07</v>
      </c>
      <c r="S35" s="145">
        <v>4500</v>
      </c>
      <c r="T35" s="155">
        <f t="shared" si="1"/>
        <v>2.069999999999709</v>
      </c>
      <c r="U35" s="42">
        <f t="shared" si="2"/>
        <v>1.00046</v>
      </c>
    </row>
    <row r="36" spans="1:21" ht="15">
      <c r="A36" s="1"/>
      <c r="B36" s="1"/>
      <c r="C36" s="1"/>
      <c r="D36" s="43" t="s">
        <v>60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80">
        <v>0</v>
      </c>
      <c r="M36" s="180">
        <v>0</v>
      </c>
      <c r="N36" s="180">
        <v>0</v>
      </c>
      <c r="O36" s="41">
        <v>0</v>
      </c>
      <c r="P36" s="41">
        <v>0</v>
      </c>
      <c r="Q36" s="41"/>
      <c r="R36" s="163">
        <f t="shared" si="0"/>
        <v>0</v>
      </c>
      <c r="S36" s="145">
        <v>0</v>
      </c>
      <c r="T36" s="155">
        <f t="shared" si="1"/>
        <v>0</v>
      </c>
      <c r="U36" s="42"/>
    </row>
    <row r="37" spans="1:21" s="86" customFormat="1" ht="15">
      <c r="A37" s="1"/>
      <c r="B37" s="1"/>
      <c r="C37" s="1"/>
      <c r="D37" s="43" t="s">
        <v>61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80">
        <v>0</v>
      </c>
      <c r="M37" s="180">
        <v>0</v>
      </c>
      <c r="N37" s="180">
        <v>0</v>
      </c>
      <c r="O37" s="41">
        <v>0</v>
      </c>
      <c r="P37" s="41">
        <v>0</v>
      </c>
      <c r="Q37" s="41"/>
      <c r="R37" s="163">
        <f t="shared" si="0"/>
        <v>0</v>
      </c>
      <c r="S37" s="145">
        <v>0</v>
      </c>
      <c r="T37" s="155">
        <f t="shared" si="1"/>
        <v>0</v>
      </c>
      <c r="U37" s="42"/>
    </row>
    <row r="38" spans="1:21" s="86" customFormat="1" ht="15">
      <c r="A38" s="1"/>
      <c r="B38" s="1"/>
      <c r="C38" s="1"/>
      <c r="D38" s="43" t="s">
        <v>62</v>
      </c>
      <c r="E38" s="195">
        <v>500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80">
        <v>0</v>
      </c>
      <c r="M38" s="180">
        <v>2500</v>
      </c>
      <c r="N38" s="180">
        <f>1500-500</f>
        <v>1000</v>
      </c>
      <c r="O38" s="41">
        <v>0</v>
      </c>
      <c r="P38" s="41">
        <v>0</v>
      </c>
      <c r="Q38" s="41"/>
      <c r="R38" s="163">
        <f t="shared" si="0"/>
        <v>4000</v>
      </c>
      <c r="S38" s="145">
        <v>4000</v>
      </c>
      <c r="T38" s="155">
        <f t="shared" si="1"/>
        <v>0</v>
      </c>
      <c r="U38" s="42">
        <f t="shared" si="2"/>
        <v>1</v>
      </c>
    </row>
    <row r="39" spans="1:21" s="86" customFormat="1" ht="15">
      <c r="A39" s="1"/>
      <c r="B39" s="1"/>
      <c r="C39" s="1"/>
      <c r="D39" s="43" t="s">
        <v>63</v>
      </c>
      <c r="E39" s="195">
        <v>0</v>
      </c>
      <c r="F39" s="195">
        <v>25000</v>
      </c>
      <c r="G39" s="195">
        <v>0</v>
      </c>
      <c r="H39" s="195">
        <v>0</v>
      </c>
      <c r="I39" s="195">
        <v>0</v>
      </c>
      <c r="J39" s="195">
        <v>14000</v>
      </c>
      <c r="K39" s="195"/>
      <c r="L39" s="180">
        <v>40000</v>
      </c>
      <c r="M39" s="180"/>
      <c r="N39" s="180">
        <v>0</v>
      </c>
      <c r="O39" s="41">
        <v>0</v>
      </c>
      <c r="P39" s="41">
        <v>0</v>
      </c>
      <c r="Q39" s="41"/>
      <c r="R39" s="163">
        <f t="shared" si="0"/>
        <v>79000</v>
      </c>
      <c r="S39" s="145">
        <v>85000</v>
      </c>
      <c r="T39" s="155">
        <f t="shared" si="1"/>
        <v>-6000</v>
      </c>
      <c r="U39" s="42">
        <f t="shared" si="2"/>
        <v>0.9294117647058824</v>
      </c>
    </row>
    <row r="40" spans="1:21" s="86" customFormat="1" ht="15">
      <c r="A40" s="1"/>
      <c r="B40" s="1"/>
      <c r="C40" s="1"/>
      <c r="D40" s="43" t="s">
        <v>64</v>
      </c>
      <c r="E40" s="195">
        <v>29608.33</v>
      </c>
      <c r="F40" s="195">
        <v>7750</v>
      </c>
      <c r="G40" s="195">
        <v>7500</v>
      </c>
      <c r="H40" s="195">
        <v>60687.5</v>
      </c>
      <c r="I40" s="195">
        <v>34656</v>
      </c>
      <c r="J40" s="195">
        <v>-7000</v>
      </c>
      <c r="K40" s="195">
        <v>118300</v>
      </c>
      <c r="L40" s="180">
        <v>16600</v>
      </c>
      <c r="M40" s="180">
        <v>141190</v>
      </c>
      <c r="N40" s="180">
        <v>22500</v>
      </c>
      <c r="O40" s="41">
        <f>285375-39000</f>
        <v>246375</v>
      </c>
      <c r="P40" s="41">
        <f>78325-13371+5879+55000</f>
        <v>125833</v>
      </c>
      <c r="Q40" s="41"/>
      <c r="R40" s="163">
        <f t="shared" si="0"/>
        <v>803999.8300000001</v>
      </c>
      <c r="S40" s="145">
        <v>749000</v>
      </c>
      <c r="T40" s="155">
        <f t="shared" si="1"/>
        <v>54999.830000000075</v>
      </c>
      <c r="U40" s="42">
        <f t="shared" si="2"/>
        <v>1.0734310146862485</v>
      </c>
    </row>
    <row r="41" spans="1:21" s="86" customFormat="1" ht="15">
      <c r="A41" s="1"/>
      <c r="B41" s="1"/>
      <c r="C41" s="1"/>
      <c r="D41" s="43" t="s">
        <v>195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80">
        <v>0</v>
      </c>
      <c r="M41" s="180">
        <v>0</v>
      </c>
      <c r="N41" s="180">
        <v>0</v>
      </c>
      <c r="O41" s="41">
        <v>0</v>
      </c>
      <c r="P41" s="41">
        <v>0</v>
      </c>
      <c r="Q41" s="41"/>
      <c r="R41" s="163">
        <f t="shared" si="0"/>
        <v>0</v>
      </c>
      <c r="S41" s="145"/>
      <c r="T41" s="155"/>
      <c r="U41" s="42"/>
    </row>
    <row r="42" spans="1:21" s="86" customFormat="1" ht="15">
      <c r="A42" s="1"/>
      <c r="B42" s="1"/>
      <c r="C42" s="1"/>
      <c r="D42" s="43" t="s">
        <v>65</v>
      </c>
      <c r="E42" s="195">
        <v>59.05</v>
      </c>
      <c r="F42" s="195">
        <v>18.06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80">
        <v>0</v>
      </c>
      <c r="M42" s="180">
        <v>0</v>
      </c>
      <c r="N42" s="180">
        <v>0</v>
      </c>
      <c r="O42" s="41">
        <v>0</v>
      </c>
      <c r="P42" s="41">
        <v>0</v>
      </c>
      <c r="Q42" s="41"/>
      <c r="R42" s="163">
        <f t="shared" si="0"/>
        <v>77.11</v>
      </c>
      <c r="S42" s="145"/>
      <c r="T42" s="155"/>
      <c r="U42" s="42"/>
    </row>
    <row r="43" spans="1:21" ht="4.5" customHeight="1">
      <c r="A43" s="1"/>
      <c r="B43" s="1"/>
      <c r="C43" s="1"/>
      <c r="D43" s="43"/>
      <c r="E43" s="195"/>
      <c r="F43" s="195"/>
      <c r="G43" s="195"/>
      <c r="H43" s="195"/>
      <c r="I43" s="195"/>
      <c r="J43" s="195"/>
      <c r="K43" s="195"/>
      <c r="L43" s="180"/>
      <c r="M43" s="180"/>
      <c r="N43" s="180"/>
      <c r="O43" s="41"/>
      <c r="P43" s="41"/>
      <c r="Q43" s="41"/>
      <c r="R43" s="163"/>
      <c r="S43" s="145"/>
      <c r="T43" s="155"/>
      <c r="U43" s="42"/>
    </row>
    <row r="44" spans="1:21" ht="15.75" thickBot="1">
      <c r="A44" s="1"/>
      <c r="B44" s="1"/>
      <c r="C44" s="82" t="s">
        <v>66</v>
      </c>
      <c r="D44" s="82"/>
      <c r="E44" s="196">
        <f aca="true" t="shared" si="5" ref="E44:P44">ROUND(SUM(E5:E43),5)</f>
        <v>98245.13</v>
      </c>
      <c r="F44" s="196">
        <f t="shared" si="5"/>
        <v>91352.14</v>
      </c>
      <c r="G44" s="196">
        <f t="shared" si="5"/>
        <v>102389.61</v>
      </c>
      <c r="H44" s="196">
        <f t="shared" si="5"/>
        <v>214748.74</v>
      </c>
      <c r="I44" s="196">
        <f t="shared" si="5"/>
        <v>282214.96</v>
      </c>
      <c r="J44" s="196">
        <f t="shared" si="5"/>
        <v>530848.37</v>
      </c>
      <c r="K44" s="196">
        <f t="shared" si="5"/>
        <v>505659</v>
      </c>
      <c r="L44" s="181">
        <f t="shared" si="5"/>
        <v>805489.26093</v>
      </c>
      <c r="M44" s="181">
        <f t="shared" si="5"/>
        <v>830715.66293</v>
      </c>
      <c r="N44" s="181">
        <f t="shared" si="5"/>
        <v>229124.60093</v>
      </c>
      <c r="O44" s="83">
        <f t="shared" si="5"/>
        <v>434858.34078</v>
      </c>
      <c r="P44" s="83">
        <f t="shared" si="5"/>
        <v>303601.79762</v>
      </c>
      <c r="Q44" s="83"/>
      <c r="R44" s="164">
        <f>ROUND(SUM(R5:R43),5)</f>
        <v>4429247.61319</v>
      </c>
      <c r="S44" s="146">
        <f>ROUND(SUM(S5:S43),5)</f>
        <v>4283713.9097</v>
      </c>
      <c r="T44" s="156">
        <f>+R44-S44</f>
        <v>145533.70349000022</v>
      </c>
      <c r="U44" s="84">
        <f>+R44/S44</f>
        <v>1.0339737215317892</v>
      </c>
    </row>
    <row r="45" spans="1:21" ht="15">
      <c r="A45" s="1"/>
      <c r="B45" s="1"/>
      <c r="C45" s="1" t="s">
        <v>67</v>
      </c>
      <c r="D45" s="1"/>
      <c r="E45" s="197"/>
      <c r="F45" s="197"/>
      <c r="G45" s="197"/>
      <c r="H45" s="197"/>
      <c r="I45" s="197"/>
      <c r="J45" s="197"/>
      <c r="K45" s="197"/>
      <c r="L45" s="182"/>
      <c r="M45" s="182"/>
      <c r="N45" s="182"/>
      <c r="O45" s="45"/>
      <c r="P45" s="45"/>
      <c r="Q45" s="45"/>
      <c r="R45" s="165"/>
      <c r="S45" s="147"/>
      <c r="T45" s="157"/>
      <c r="U45" s="46">
        <f aca="true" t="shared" si="6" ref="U45:U51">ROUND(IF(R45=0,IF(S45=0,0,1),S45/R45),5)</f>
        <v>0</v>
      </c>
    </row>
    <row r="46" spans="1:21" ht="15">
      <c r="A46" s="1"/>
      <c r="B46" s="1"/>
      <c r="C46" s="1"/>
      <c r="D46" s="40" t="s">
        <v>224</v>
      </c>
      <c r="E46" s="195">
        <v>0</v>
      </c>
      <c r="F46" s="195">
        <v>0</v>
      </c>
      <c r="G46" s="195">
        <v>66.46</v>
      </c>
      <c r="H46" s="195">
        <v>0</v>
      </c>
      <c r="I46" s="195"/>
      <c r="J46" s="195">
        <v>-66.46</v>
      </c>
      <c r="K46" s="195"/>
      <c r="L46" s="180"/>
      <c r="M46" s="180"/>
      <c r="N46" s="180"/>
      <c r="O46" s="41"/>
      <c r="P46" s="41"/>
      <c r="Q46" s="41"/>
      <c r="R46" s="163">
        <f aca="true" t="shared" si="7" ref="R46:R48">SUM(E46:P46)</f>
        <v>0</v>
      </c>
      <c r="S46" s="145"/>
      <c r="T46" s="155">
        <f>+S46-R46</f>
        <v>0</v>
      </c>
      <c r="U46" s="42"/>
    </row>
    <row r="47" spans="1:21" ht="15">
      <c r="A47" s="1"/>
      <c r="B47" s="1"/>
      <c r="C47" s="1"/>
      <c r="D47" s="40" t="s">
        <v>68</v>
      </c>
      <c r="E47" s="195">
        <v>0</v>
      </c>
      <c r="F47" s="195">
        <v>0</v>
      </c>
      <c r="G47" s="195">
        <v>431.94</v>
      </c>
      <c r="H47" s="195">
        <v>11.7</v>
      </c>
      <c r="I47" s="195">
        <v>0</v>
      </c>
      <c r="J47" s="195">
        <v>-69.36</v>
      </c>
      <c r="K47" s="195">
        <v>0</v>
      </c>
      <c r="L47" s="180">
        <v>0</v>
      </c>
      <c r="M47" s="180">
        <v>1182.41</v>
      </c>
      <c r="N47" s="180">
        <v>14789.05</v>
      </c>
      <c r="O47" s="41">
        <v>8429</v>
      </c>
      <c r="P47" s="41">
        <v>1000</v>
      </c>
      <c r="Q47" s="41"/>
      <c r="R47" s="163">
        <f aca="true" t="shared" si="8" ref="R47">SUM(E47:P47)</f>
        <v>25774.739999999998</v>
      </c>
      <c r="S47" s="145">
        <v>26000.46</v>
      </c>
      <c r="T47" s="155">
        <f>+S47-R47</f>
        <v>225.72000000000116</v>
      </c>
      <c r="U47" s="42">
        <f>+R47/S47</f>
        <v>0.9913186151321938</v>
      </c>
    </row>
    <row r="48" spans="1:21" ht="15.75" thickBot="1">
      <c r="A48" s="1"/>
      <c r="B48" s="1"/>
      <c r="C48" s="1"/>
      <c r="D48" s="1" t="s">
        <v>70</v>
      </c>
      <c r="E48" s="195">
        <f>+'[1]Sum by Mo'!E42</f>
        <v>0</v>
      </c>
      <c r="F48" s="195">
        <f>+'[1]Sum by Mo'!F42</f>
        <v>0</v>
      </c>
      <c r="G48" s="195">
        <f>+'[1]Sum by Mo'!G42</f>
        <v>0</v>
      </c>
      <c r="H48" s="195">
        <f>+'[1]Sum by Mo'!H42</f>
        <v>0</v>
      </c>
      <c r="I48" s="195">
        <f>+'[1]Sum by Mo'!I42</f>
        <v>0</v>
      </c>
      <c r="J48" s="195">
        <f>+'[1]Sum by Mo'!J42</f>
        <v>0</v>
      </c>
      <c r="K48" s="195">
        <f>+'[1]Sum by Mo'!K42</f>
        <v>0</v>
      </c>
      <c r="L48" s="180">
        <f>+'[1]Sum by Mo'!L42</f>
        <v>0</v>
      </c>
      <c r="M48" s="180">
        <f>+'[1]Sum by Mo'!M42</f>
        <v>0</v>
      </c>
      <c r="N48" s="180">
        <f>+'[1]Sum by Mo'!N42</f>
        <v>0</v>
      </c>
      <c r="O48" s="41">
        <f>+'[1]Sum by Mo'!O42</f>
        <v>0</v>
      </c>
      <c r="P48" s="41">
        <f>+'[1]Sum by Mo'!P42</f>
        <v>0</v>
      </c>
      <c r="Q48" s="41"/>
      <c r="R48" s="163">
        <f t="shared" si="7"/>
        <v>0</v>
      </c>
      <c r="S48" s="145">
        <f>+'[1]Sum by Mo'!S42</f>
        <v>0</v>
      </c>
      <c r="T48" s="155">
        <f aca="true" t="shared" si="9" ref="T48">+S48-R48</f>
        <v>0</v>
      </c>
      <c r="U48" s="42">
        <f t="shared" si="6"/>
        <v>0</v>
      </c>
    </row>
    <row r="49" spans="1:21" ht="15.75" thickBot="1">
      <c r="A49" s="1"/>
      <c r="B49" s="1"/>
      <c r="C49" s="1" t="s">
        <v>71</v>
      </c>
      <c r="D49" s="47"/>
      <c r="E49" s="198">
        <f aca="true" t="shared" si="10" ref="E49:P49">ROUND(SUM(E45:E48),5)</f>
        <v>0</v>
      </c>
      <c r="F49" s="198">
        <f t="shared" si="10"/>
        <v>0</v>
      </c>
      <c r="G49" s="198">
        <f t="shared" si="10"/>
        <v>498.4</v>
      </c>
      <c r="H49" s="198">
        <f t="shared" si="10"/>
        <v>11.7</v>
      </c>
      <c r="I49" s="198">
        <f t="shared" si="10"/>
        <v>0</v>
      </c>
      <c r="J49" s="198">
        <f t="shared" si="10"/>
        <v>-135.82</v>
      </c>
      <c r="K49" s="198">
        <f t="shared" si="10"/>
        <v>0</v>
      </c>
      <c r="L49" s="183">
        <f t="shared" si="10"/>
        <v>0</v>
      </c>
      <c r="M49" s="183">
        <f t="shared" si="10"/>
        <v>1182.41</v>
      </c>
      <c r="N49" s="183">
        <f t="shared" si="10"/>
        <v>14789.05</v>
      </c>
      <c r="O49" s="47">
        <f t="shared" si="10"/>
        <v>8429</v>
      </c>
      <c r="P49" s="47">
        <f t="shared" si="10"/>
        <v>1000</v>
      </c>
      <c r="Q49" s="47"/>
      <c r="R49" s="166">
        <f>ROUND(SUM(R45:R48),5)</f>
        <v>25774.74</v>
      </c>
      <c r="S49" s="148">
        <f>ROUND(SUM(S45:S48),5)</f>
        <v>26000.46</v>
      </c>
      <c r="T49" s="158">
        <f aca="true" t="shared" si="11" ref="T49">ROUND(SUM(T45:T48),5)</f>
        <v>225.72</v>
      </c>
      <c r="U49" s="48">
        <f>+R49/S49</f>
        <v>0.9913186151321939</v>
      </c>
    </row>
    <row r="50" spans="1:21" ht="15.75" thickBot="1">
      <c r="A50" s="1"/>
      <c r="B50" s="18"/>
      <c r="C50" s="1" t="s">
        <v>72</v>
      </c>
      <c r="D50" s="49"/>
      <c r="E50" s="199">
        <f>ROUND(E44-E49,5)</f>
        <v>98245.13</v>
      </c>
      <c r="F50" s="199">
        <f aca="true" t="shared" si="12" ref="F50:P50">ROUND(F44-F49,5)</f>
        <v>91352.14</v>
      </c>
      <c r="G50" s="199">
        <f t="shared" si="12"/>
        <v>101891.21</v>
      </c>
      <c r="H50" s="199">
        <f t="shared" si="12"/>
        <v>214737.04</v>
      </c>
      <c r="I50" s="199">
        <f t="shared" si="12"/>
        <v>282214.96</v>
      </c>
      <c r="J50" s="199">
        <f t="shared" si="12"/>
        <v>530984.19</v>
      </c>
      <c r="K50" s="199">
        <f t="shared" si="12"/>
        <v>505659</v>
      </c>
      <c r="L50" s="184">
        <f t="shared" si="12"/>
        <v>805489.26093</v>
      </c>
      <c r="M50" s="184">
        <f t="shared" si="12"/>
        <v>829533.25293</v>
      </c>
      <c r="N50" s="184">
        <f t="shared" si="12"/>
        <v>214335.55093</v>
      </c>
      <c r="O50" s="50">
        <f t="shared" si="12"/>
        <v>426429.34078</v>
      </c>
      <c r="P50" s="50">
        <f t="shared" si="12"/>
        <v>302601.79762</v>
      </c>
      <c r="Q50" s="50"/>
      <c r="R50" s="167">
        <f>ROUND(R44-R49,5)</f>
        <v>4403472.87319</v>
      </c>
      <c r="S50" s="149">
        <f>ROUND(S44-S49,5)</f>
        <v>4257713.4497</v>
      </c>
      <c r="T50" s="159">
        <f aca="true" t="shared" si="13" ref="T50">ROUND(T44-T49,5)</f>
        <v>145307.98349</v>
      </c>
      <c r="U50" s="51">
        <f>+R50/S50</f>
        <v>1.0342342022806326</v>
      </c>
    </row>
    <row r="51" spans="1:21" ht="15.75" thickTop="1">
      <c r="A51" s="1"/>
      <c r="B51" s="1"/>
      <c r="C51" s="1" t="s">
        <v>73</v>
      </c>
      <c r="D51" s="1"/>
      <c r="E51" s="197"/>
      <c r="F51" s="197"/>
      <c r="G51" s="197"/>
      <c r="H51" s="197"/>
      <c r="I51" s="197">
        <f>+I50-282214.96</f>
        <v>0</v>
      </c>
      <c r="J51" s="197"/>
      <c r="K51" s="197"/>
      <c r="L51" s="182"/>
      <c r="M51" s="182"/>
      <c r="N51" s="182"/>
      <c r="O51" s="45"/>
      <c r="P51" s="45"/>
      <c r="Q51" s="45"/>
      <c r="R51" s="165"/>
      <c r="S51" s="147"/>
      <c r="T51" s="157"/>
      <c r="U51" s="46">
        <f t="shared" si="6"/>
        <v>0</v>
      </c>
    </row>
    <row r="52" spans="1:21" ht="15">
      <c r="A52" s="1"/>
      <c r="B52" s="1"/>
      <c r="C52" s="1"/>
      <c r="D52" s="40" t="s">
        <v>74</v>
      </c>
      <c r="E52" s="195">
        <v>117240.66</v>
      </c>
      <c r="F52" s="195">
        <v>128226.39</v>
      </c>
      <c r="G52" s="195">
        <v>130826.56</v>
      </c>
      <c r="H52" s="195">
        <v>132564.82</v>
      </c>
      <c r="I52" s="195">
        <f>135120+4308.11</f>
        <v>139428.11</v>
      </c>
      <c r="J52" s="195">
        <f>139972.57-901.93</f>
        <v>139070.64</v>
      </c>
      <c r="K52" s="195">
        <f>124236+7108</f>
        <v>131344</v>
      </c>
      <c r="L52" s="180">
        <v>137190.810231</v>
      </c>
      <c r="M52" s="180">
        <v>137190.810231</v>
      </c>
      <c r="N52" s="180">
        <v>137190.810231</v>
      </c>
      <c r="O52" s="41">
        <v>137190.810231</v>
      </c>
      <c r="P52" s="41">
        <f>137190.810231+37668</f>
        <v>174858.810231</v>
      </c>
      <c r="Q52" s="41"/>
      <c r="R52" s="163">
        <f aca="true" t="shared" si="14" ref="R52:R116">SUM(E52:P52)</f>
        <v>1642323.231155</v>
      </c>
      <c r="S52" s="145">
        <v>1646289.7227719997</v>
      </c>
      <c r="T52" s="155">
        <f>+S52-R52</f>
        <v>3966.4916169997305</v>
      </c>
      <c r="U52" s="42">
        <f>+R52/S52</f>
        <v>0.9975906478901411</v>
      </c>
    </row>
    <row r="53" spans="1:21" ht="15">
      <c r="A53" s="1"/>
      <c r="B53" s="1"/>
      <c r="C53" s="1"/>
      <c r="D53" s="43" t="s">
        <v>75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80">
        <v>0</v>
      </c>
      <c r="M53" s="180">
        <v>0</v>
      </c>
      <c r="N53" s="180">
        <v>0</v>
      </c>
      <c r="O53" s="41">
        <v>0</v>
      </c>
      <c r="P53" s="41">
        <v>0</v>
      </c>
      <c r="Q53" s="41"/>
      <c r="R53" s="163">
        <f t="shared" si="14"/>
        <v>0</v>
      </c>
      <c r="S53" s="145">
        <v>0</v>
      </c>
      <c r="T53" s="155">
        <f>+S53-R53</f>
        <v>0</v>
      </c>
      <c r="U53" s="42"/>
    </row>
    <row r="54" spans="1:21" ht="15">
      <c r="A54" s="1"/>
      <c r="B54" s="1"/>
      <c r="C54" s="1"/>
      <c r="D54" s="43" t="s">
        <v>76</v>
      </c>
      <c r="E54" s="195">
        <v>0</v>
      </c>
      <c r="F54" s="195"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80">
        <v>0</v>
      </c>
      <c r="M54" s="180">
        <v>0</v>
      </c>
      <c r="N54" s="180">
        <v>0</v>
      </c>
      <c r="O54" s="41">
        <v>0</v>
      </c>
      <c r="P54" s="41">
        <v>0</v>
      </c>
      <c r="Q54" s="41"/>
      <c r="R54" s="163">
        <f t="shared" si="14"/>
        <v>0</v>
      </c>
      <c r="S54" s="145">
        <v>0</v>
      </c>
      <c r="T54" s="155">
        <f aca="true" t="shared" si="15" ref="T54:T118">+S54-R54</f>
        <v>0</v>
      </c>
      <c r="U54" s="42"/>
    </row>
    <row r="55" spans="1:21" ht="15">
      <c r="A55" s="1"/>
      <c r="B55" s="1"/>
      <c r="C55" s="1"/>
      <c r="D55" s="43" t="s">
        <v>77</v>
      </c>
      <c r="E55" s="214"/>
      <c r="F55" s="214"/>
      <c r="G55" s="214"/>
      <c r="H55" s="214"/>
      <c r="I55" s="214"/>
      <c r="J55" s="214"/>
      <c r="K55" s="214"/>
      <c r="L55" s="215"/>
      <c r="M55" s="180">
        <v>0</v>
      </c>
      <c r="N55" s="180">
        <v>10000</v>
      </c>
      <c r="O55" s="41">
        <v>0</v>
      </c>
      <c r="P55" s="41">
        <v>0</v>
      </c>
      <c r="Q55" s="41"/>
      <c r="R55" s="163">
        <f t="shared" si="14"/>
        <v>10000</v>
      </c>
      <c r="S55" s="145">
        <v>10000</v>
      </c>
      <c r="T55" s="155">
        <f t="shared" si="15"/>
        <v>0</v>
      </c>
      <c r="U55" s="42">
        <f aca="true" t="shared" si="16" ref="U55:U117">+R55/S55</f>
        <v>1</v>
      </c>
    </row>
    <row r="56" spans="1:21" ht="15">
      <c r="A56" s="1"/>
      <c r="B56" s="1"/>
      <c r="C56" s="1"/>
      <c r="D56" s="43" t="s">
        <v>78</v>
      </c>
      <c r="E56" s="195">
        <v>8984.62</v>
      </c>
      <c r="F56" s="195">
        <v>10054.5</v>
      </c>
      <c r="G56" s="195">
        <v>7649.84</v>
      </c>
      <c r="H56" s="195">
        <v>9637.1</v>
      </c>
      <c r="I56" s="195">
        <v>9579.11</v>
      </c>
      <c r="J56" s="195">
        <v>10260.87</v>
      </c>
      <c r="K56" s="195">
        <v>16563</v>
      </c>
      <c r="L56" s="180">
        <f>+L52*12.6%</f>
        <v>17286.042089106002</v>
      </c>
      <c r="M56" s="180">
        <f aca="true" t="shared" si="17" ref="M56:P56">+M52*12.6%</f>
        <v>17286.042089106002</v>
      </c>
      <c r="N56" s="180">
        <f t="shared" si="17"/>
        <v>17286.042089106002</v>
      </c>
      <c r="O56" s="180">
        <f t="shared" si="17"/>
        <v>17286.042089106002</v>
      </c>
      <c r="P56" s="180">
        <f t="shared" si="17"/>
        <v>22032.210089106</v>
      </c>
      <c r="Q56" s="41"/>
      <c r="R56" s="163">
        <f t="shared" si="14"/>
        <v>163905.41844553003</v>
      </c>
      <c r="S56" s="145">
        <v>139934.62643562004</v>
      </c>
      <c r="T56" s="155">
        <f t="shared" si="15"/>
        <v>-23970.792009909987</v>
      </c>
      <c r="U56" s="42">
        <f t="shared" si="16"/>
        <v>1.1712999321217916</v>
      </c>
    </row>
    <row r="57" spans="1:21" ht="15">
      <c r="A57" s="1"/>
      <c r="B57" s="1"/>
      <c r="C57" s="1"/>
      <c r="D57" s="43" t="s">
        <v>79</v>
      </c>
      <c r="E57" s="195">
        <v>1296.41</v>
      </c>
      <c r="F57" s="195">
        <v>1296.42</v>
      </c>
      <c r="G57" s="195">
        <v>1296.42</v>
      </c>
      <c r="H57" s="195">
        <v>1296.43</v>
      </c>
      <c r="I57" s="195">
        <v>1296.42</v>
      </c>
      <c r="J57" s="195">
        <v>4907.1</v>
      </c>
      <c r="K57" s="195">
        <v>1296</v>
      </c>
      <c r="L57" s="180">
        <v>1296</v>
      </c>
      <c r="M57" s="180">
        <v>1296</v>
      </c>
      <c r="N57" s="180">
        <v>920</v>
      </c>
      <c r="O57" s="180">
        <v>920</v>
      </c>
      <c r="P57" s="180">
        <v>920</v>
      </c>
      <c r="Q57" s="41"/>
      <c r="R57" s="163">
        <f t="shared" si="14"/>
        <v>18037.2</v>
      </c>
      <c r="S57" s="145">
        <v>18109.186950492</v>
      </c>
      <c r="T57" s="155">
        <f t="shared" si="15"/>
        <v>71.98695049199887</v>
      </c>
      <c r="U57" s="42">
        <f t="shared" si="16"/>
        <v>0.9960248380731392</v>
      </c>
    </row>
    <row r="58" spans="1:21" ht="15">
      <c r="A58" s="1"/>
      <c r="B58" s="1"/>
      <c r="C58" s="1"/>
      <c r="D58" s="43" t="s">
        <v>80</v>
      </c>
      <c r="E58" s="195">
        <v>1164.04</v>
      </c>
      <c r="F58" s="195">
        <v>1169.07</v>
      </c>
      <c r="G58" s="195">
        <v>952.63</v>
      </c>
      <c r="H58" s="195">
        <v>1184.27</v>
      </c>
      <c r="I58" s="195">
        <v>1334.17</v>
      </c>
      <c r="J58" s="195">
        <v>836.87</v>
      </c>
      <c r="K58" s="195">
        <v>1086</v>
      </c>
      <c r="L58" s="180">
        <v>1371.90810231</v>
      </c>
      <c r="M58" s="180">
        <v>1371.90810231</v>
      </c>
      <c r="N58" s="180">
        <v>1371.90810231</v>
      </c>
      <c r="O58" s="41">
        <v>1371.90810231</v>
      </c>
      <c r="P58" s="41">
        <v>1371.90810231</v>
      </c>
      <c r="Q58" s="41"/>
      <c r="R58" s="163">
        <f t="shared" si="14"/>
        <v>14586.590511550003</v>
      </c>
      <c r="S58" s="145">
        <v>16462.897227720005</v>
      </c>
      <c r="T58" s="155">
        <f t="shared" si="15"/>
        <v>1876.306716170002</v>
      </c>
      <c r="U58" s="42">
        <f t="shared" si="16"/>
        <v>0.8860281583359032</v>
      </c>
    </row>
    <row r="59" spans="1:21" ht="15">
      <c r="A59" s="1"/>
      <c r="B59" s="1"/>
      <c r="C59" s="1"/>
      <c r="D59" s="43" t="s">
        <v>81</v>
      </c>
      <c r="E59" s="195">
        <v>5561.83</v>
      </c>
      <c r="F59" s="195">
        <v>8368.23</v>
      </c>
      <c r="G59" s="195">
        <v>5931.93</v>
      </c>
      <c r="H59" s="195">
        <v>7183.45</v>
      </c>
      <c r="I59" s="195">
        <v>5923.57</v>
      </c>
      <c r="J59" s="195">
        <v>6768.93</v>
      </c>
      <c r="K59" s="195">
        <v>5742</v>
      </c>
      <c r="L59" s="180">
        <v>7888.4715882825</v>
      </c>
      <c r="M59" s="180">
        <v>7888.4715882825</v>
      </c>
      <c r="N59" s="180">
        <v>7888.4715882825</v>
      </c>
      <c r="O59" s="41">
        <v>7888.4715882825</v>
      </c>
      <c r="P59" s="41">
        <v>7888.4715882825</v>
      </c>
      <c r="Q59" s="41"/>
      <c r="R59" s="163">
        <f t="shared" si="14"/>
        <v>84922.29794141249</v>
      </c>
      <c r="S59" s="145">
        <v>94661.65905938997</v>
      </c>
      <c r="T59" s="155">
        <f t="shared" si="15"/>
        <v>9739.361117977489</v>
      </c>
      <c r="U59" s="42">
        <f t="shared" si="16"/>
        <v>0.8971139824216784</v>
      </c>
    </row>
    <row r="60" spans="1:21" ht="15">
      <c r="A60" s="1"/>
      <c r="B60" s="1"/>
      <c r="C60" s="1"/>
      <c r="D60" s="43" t="s">
        <v>82</v>
      </c>
      <c r="E60" s="195">
        <v>721.44</v>
      </c>
      <c r="F60" s="195">
        <v>151.09</v>
      </c>
      <c r="G60" s="195">
        <v>-1096.07</v>
      </c>
      <c r="H60" s="195">
        <v>1846.19</v>
      </c>
      <c r="I60" s="195">
        <f>69.18+192.49</f>
        <v>261.67</v>
      </c>
      <c r="J60" s="195">
        <f>804.37+192.49</f>
        <v>996.86</v>
      </c>
      <c r="K60" s="195">
        <f>164+69</f>
        <v>233</v>
      </c>
      <c r="L60" s="180">
        <v>205.7862153465</v>
      </c>
      <c r="M60" s="180">
        <v>205.7862153465</v>
      </c>
      <c r="N60" s="180">
        <v>205.7862153465</v>
      </c>
      <c r="O60" s="41">
        <v>205.7862153465</v>
      </c>
      <c r="P60" s="41">
        <v>205.7862153465</v>
      </c>
      <c r="Q60" s="41"/>
      <c r="R60" s="163">
        <f t="shared" si="14"/>
        <v>4143.1110767325</v>
      </c>
      <c r="S60" s="145">
        <v>2469.434584158</v>
      </c>
      <c r="T60" s="155">
        <f t="shared" si="15"/>
        <v>-1673.6764925745001</v>
      </c>
      <c r="U60" s="42">
        <f t="shared" si="16"/>
        <v>1.6777569664373886</v>
      </c>
    </row>
    <row r="61" spans="1:21" ht="15">
      <c r="A61" s="1"/>
      <c r="B61" s="1"/>
      <c r="C61" s="1"/>
      <c r="D61" s="43" t="s">
        <v>83</v>
      </c>
      <c r="E61" s="195">
        <v>2410.28</v>
      </c>
      <c r="F61" s="195">
        <v>3585.47</v>
      </c>
      <c r="G61" s="195">
        <v>3286.8</v>
      </c>
      <c r="H61" s="195">
        <v>3627.59</v>
      </c>
      <c r="I61" s="195">
        <v>5156.23</v>
      </c>
      <c r="J61" s="195">
        <v>3383.26</v>
      </c>
      <c r="K61" s="195">
        <v>3383</v>
      </c>
      <c r="L61" s="180">
        <v>5076.059978546999</v>
      </c>
      <c r="M61" s="180">
        <v>5076.059978546999</v>
      </c>
      <c r="N61" s="180">
        <v>5076.059978546999</v>
      </c>
      <c r="O61" s="41">
        <v>5076.059978546999</v>
      </c>
      <c r="P61" s="41">
        <v>5076.059978546999</v>
      </c>
      <c r="Q61" s="41"/>
      <c r="R61" s="163">
        <f t="shared" si="14"/>
        <v>50212.92989273499</v>
      </c>
      <c r="S61" s="145">
        <v>60912.71974256398</v>
      </c>
      <c r="T61" s="155">
        <f t="shared" si="15"/>
        <v>10699.789849828994</v>
      </c>
      <c r="U61" s="42">
        <f t="shared" si="16"/>
        <v>0.8243422737475913</v>
      </c>
    </row>
    <row r="62" spans="1:21" ht="15">
      <c r="A62" s="1"/>
      <c r="B62" s="1"/>
      <c r="C62" s="1"/>
      <c r="D62" s="43" t="s">
        <v>84</v>
      </c>
      <c r="E62" s="195"/>
      <c r="F62" s="195"/>
      <c r="G62" s="195"/>
      <c r="H62" s="195"/>
      <c r="I62" s="195"/>
      <c r="J62" s="195"/>
      <c r="K62" s="195"/>
      <c r="L62" s="180">
        <v>0</v>
      </c>
      <c r="M62" s="180">
        <v>0</v>
      </c>
      <c r="N62" s="180">
        <v>0</v>
      </c>
      <c r="O62" s="41">
        <v>0</v>
      </c>
      <c r="P62" s="41">
        <v>0</v>
      </c>
      <c r="Q62" s="41"/>
      <c r="R62" s="163">
        <f t="shared" si="14"/>
        <v>0</v>
      </c>
      <c r="S62" s="145">
        <v>0</v>
      </c>
      <c r="T62" s="155">
        <f t="shared" si="15"/>
        <v>0</v>
      </c>
      <c r="U62" s="42">
        <v>0</v>
      </c>
    </row>
    <row r="63" spans="1:21" ht="15">
      <c r="A63" s="1"/>
      <c r="B63" s="1"/>
      <c r="C63" s="1"/>
      <c r="D63" s="43" t="s">
        <v>85</v>
      </c>
      <c r="E63" s="195">
        <v>1241.74</v>
      </c>
      <c r="F63" s="195">
        <v>2586.84</v>
      </c>
      <c r="G63" s="195">
        <v>2876.63</v>
      </c>
      <c r="H63" s="195">
        <v>3820.04</v>
      </c>
      <c r="I63" s="195">
        <v>2518.43</v>
      </c>
      <c r="J63" s="195">
        <v>2245.58</v>
      </c>
      <c r="K63" s="195">
        <v>2795</v>
      </c>
      <c r="L63" s="180">
        <v>1792.9399999999998</v>
      </c>
      <c r="M63" s="180">
        <v>4038.1899999999996</v>
      </c>
      <c r="N63" s="180">
        <v>26230.070000000003</v>
      </c>
      <c r="O63" s="41">
        <v>2625</v>
      </c>
      <c r="P63" s="41">
        <v>2140.333333333333</v>
      </c>
      <c r="Q63" s="41"/>
      <c r="R63" s="163">
        <f t="shared" si="14"/>
        <v>54910.79333333334</v>
      </c>
      <c r="S63" s="145">
        <v>52835.693333333336</v>
      </c>
      <c r="T63" s="155">
        <f t="shared" si="15"/>
        <v>-2075.100000000006</v>
      </c>
      <c r="U63" s="42">
        <f t="shared" si="16"/>
        <v>1.0392745863465531</v>
      </c>
    </row>
    <row r="64" spans="1:21" ht="15">
      <c r="A64" s="1"/>
      <c r="B64" s="1"/>
      <c r="C64" s="1"/>
      <c r="D64" s="43" t="s">
        <v>86</v>
      </c>
      <c r="E64" s="195">
        <v>0</v>
      </c>
      <c r="F64" s="195">
        <v>2498.16</v>
      </c>
      <c r="G64" s="195">
        <v>0</v>
      </c>
      <c r="H64" s="195">
        <v>1286.4</v>
      </c>
      <c r="I64" s="195">
        <v>603.51</v>
      </c>
      <c r="J64" s="195">
        <v>542.99</v>
      </c>
      <c r="K64" s="195">
        <v>393</v>
      </c>
      <c r="L64" s="180">
        <v>624.43</v>
      </c>
      <c r="M64" s="180">
        <v>773.83</v>
      </c>
      <c r="N64" s="180">
        <v>10688.61</v>
      </c>
      <c r="O64" s="41">
        <v>779</v>
      </c>
      <c r="P64" s="41">
        <f>3250+1990</f>
        <v>5240</v>
      </c>
      <c r="Q64" s="41"/>
      <c r="R64" s="163">
        <f t="shared" si="14"/>
        <v>23429.93</v>
      </c>
      <c r="S64" s="145">
        <v>23999.78</v>
      </c>
      <c r="T64" s="155">
        <f t="shared" si="15"/>
        <v>569.8499999999985</v>
      </c>
      <c r="U64" s="42">
        <f t="shared" si="16"/>
        <v>0.9762560323469632</v>
      </c>
    </row>
    <row r="65" spans="1:21" ht="15">
      <c r="A65" s="1"/>
      <c r="B65" s="1"/>
      <c r="C65" s="1"/>
      <c r="D65" s="43" t="s">
        <v>87</v>
      </c>
      <c r="E65" s="195">
        <v>150.9</v>
      </c>
      <c r="F65" s="195">
        <v>150.9</v>
      </c>
      <c r="G65" s="195">
        <v>203.81</v>
      </c>
      <c r="H65" s="195">
        <v>203.81</v>
      </c>
      <c r="I65" s="195">
        <v>97.99</v>
      </c>
      <c r="J65" s="195">
        <v>150.9</v>
      </c>
      <c r="K65" s="195">
        <v>151</v>
      </c>
      <c r="L65" s="180">
        <v>245.83333333333334</v>
      </c>
      <c r="M65" s="180">
        <v>245.83333333333334</v>
      </c>
      <c r="N65" s="180">
        <v>245.83333333333334</v>
      </c>
      <c r="O65" s="41">
        <v>245.83333333333334</v>
      </c>
      <c r="P65" s="41">
        <v>425.83333333333337</v>
      </c>
      <c r="Q65" s="41"/>
      <c r="R65" s="163">
        <f t="shared" si="14"/>
        <v>2518.4766666666665</v>
      </c>
      <c r="S65" s="145">
        <v>3130.0000000000005</v>
      </c>
      <c r="T65" s="155">
        <f t="shared" si="15"/>
        <v>611.523333333334</v>
      </c>
      <c r="U65" s="42">
        <f t="shared" si="16"/>
        <v>0.8046251331203406</v>
      </c>
    </row>
    <row r="66" spans="1:21" ht="15">
      <c r="A66" s="1"/>
      <c r="B66" s="1"/>
      <c r="C66" s="1"/>
      <c r="D66" s="43" t="s">
        <v>88</v>
      </c>
      <c r="E66" s="195">
        <v>0</v>
      </c>
      <c r="F66" s="195">
        <v>1.1</v>
      </c>
      <c r="G66" s="195">
        <v>0</v>
      </c>
      <c r="H66" s="195">
        <v>2.24</v>
      </c>
      <c r="I66" s="195">
        <v>6.63</v>
      </c>
      <c r="J66" s="195">
        <v>0</v>
      </c>
      <c r="K66" s="195">
        <v>184</v>
      </c>
      <c r="L66" s="180">
        <v>50</v>
      </c>
      <c r="M66" s="180">
        <v>50</v>
      </c>
      <c r="N66" s="180">
        <v>50</v>
      </c>
      <c r="O66" s="41">
        <v>50</v>
      </c>
      <c r="P66" s="41">
        <v>170</v>
      </c>
      <c r="Q66" s="41"/>
      <c r="R66" s="163">
        <f t="shared" si="14"/>
        <v>563.97</v>
      </c>
      <c r="S66" s="145">
        <v>720</v>
      </c>
      <c r="T66" s="155">
        <f t="shared" si="15"/>
        <v>156.02999999999997</v>
      </c>
      <c r="U66" s="42">
        <f t="shared" si="16"/>
        <v>0.7832916666666667</v>
      </c>
    </row>
    <row r="67" spans="1:21" ht="15">
      <c r="A67" s="1"/>
      <c r="B67" s="1"/>
      <c r="C67" s="1"/>
      <c r="D67" s="43" t="s">
        <v>89</v>
      </c>
      <c r="E67" s="195">
        <v>450</v>
      </c>
      <c r="F67" s="195">
        <v>0</v>
      </c>
      <c r="G67" s="195">
        <v>260</v>
      </c>
      <c r="H67" s="195">
        <v>260</v>
      </c>
      <c r="I67" s="195">
        <v>350</v>
      </c>
      <c r="J67" s="195">
        <v>710</v>
      </c>
      <c r="K67" s="195">
        <v>350</v>
      </c>
      <c r="L67" s="180">
        <v>550</v>
      </c>
      <c r="M67" s="180">
        <v>550</v>
      </c>
      <c r="N67" s="180">
        <v>550</v>
      </c>
      <c r="O67" s="41">
        <v>550</v>
      </c>
      <c r="P67" s="41">
        <v>1750</v>
      </c>
      <c r="Q67" s="41"/>
      <c r="R67" s="163">
        <f t="shared" si="14"/>
        <v>6330</v>
      </c>
      <c r="S67" s="145">
        <v>7800</v>
      </c>
      <c r="T67" s="155">
        <f t="shared" si="15"/>
        <v>1470</v>
      </c>
      <c r="U67" s="42">
        <f t="shared" si="16"/>
        <v>0.8115384615384615</v>
      </c>
    </row>
    <row r="68" spans="1:21" ht="15">
      <c r="A68" s="1"/>
      <c r="B68" s="1"/>
      <c r="C68" s="1"/>
      <c r="D68" s="43" t="s">
        <v>90</v>
      </c>
      <c r="E68" s="195">
        <v>75</v>
      </c>
      <c r="F68" s="195">
        <v>224</v>
      </c>
      <c r="G68" s="195">
        <v>75</v>
      </c>
      <c r="H68" s="195">
        <v>254</v>
      </c>
      <c r="I68" s="195">
        <v>75</v>
      </c>
      <c r="J68" s="195">
        <v>393</v>
      </c>
      <c r="K68" s="195">
        <v>941</v>
      </c>
      <c r="L68" s="180">
        <v>80</v>
      </c>
      <c r="M68" s="180">
        <v>80</v>
      </c>
      <c r="N68" s="180">
        <v>9080</v>
      </c>
      <c r="O68" s="41">
        <v>80</v>
      </c>
      <c r="P68" s="41">
        <v>80</v>
      </c>
      <c r="Q68" s="41"/>
      <c r="R68" s="163">
        <f t="shared" si="14"/>
        <v>11437</v>
      </c>
      <c r="S68" s="145">
        <v>9960</v>
      </c>
      <c r="T68" s="155">
        <f t="shared" si="15"/>
        <v>-1477</v>
      </c>
      <c r="U68" s="42">
        <f t="shared" si="16"/>
        <v>1.148293172690763</v>
      </c>
    </row>
    <row r="69" spans="1:21" ht="15">
      <c r="A69" s="1"/>
      <c r="B69" s="1"/>
      <c r="C69" s="1"/>
      <c r="D69" s="43" t="s">
        <v>91</v>
      </c>
      <c r="E69" s="195">
        <v>895.64</v>
      </c>
      <c r="F69" s="195">
        <v>1417.64</v>
      </c>
      <c r="G69" s="195">
        <v>3329.14</v>
      </c>
      <c r="H69" s="195">
        <v>268</v>
      </c>
      <c r="I69" s="195">
        <v>268</v>
      </c>
      <c r="J69" s="195">
        <v>2451.4</v>
      </c>
      <c r="K69" s="195">
        <v>1024</v>
      </c>
      <c r="L69" s="180">
        <v>1200</v>
      </c>
      <c r="M69" s="180">
        <v>1200</v>
      </c>
      <c r="N69" s="180">
        <v>1200</v>
      </c>
      <c r="O69" s="41">
        <v>1200</v>
      </c>
      <c r="P69" s="41">
        <v>1200</v>
      </c>
      <c r="Q69" s="41"/>
      <c r="R69" s="163">
        <f t="shared" si="14"/>
        <v>15653.82</v>
      </c>
      <c r="S69" s="145">
        <v>14400</v>
      </c>
      <c r="T69" s="155">
        <f t="shared" si="15"/>
        <v>-1253.8199999999997</v>
      </c>
      <c r="U69" s="42">
        <f t="shared" si="16"/>
        <v>1.0870708333333332</v>
      </c>
    </row>
    <row r="70" spans="1:21" ht="15">
      <c r="A70" s="1"/>
      <c r="B70" s="1"/>
      <c r="C70" s="1"/>
      <c r="D70" s="43" t="s">
        <v>92</v>
      </c>
      <c r="E70" s="195">
        <v>0</v>
      </c>
      <c r="F70" s="195">
        <v>341.62</v>
      </c>
      <c r="G70" s="195">
        <v>135.79</v>
      </c>
      <c r="H70" s="195">
        <v>204.85</v>
      </c>
      <c r="I70" s="195">
        <v>189.73</v>
      </c>
      <c r="J70" s="195">
        <v>86.19</v>
      </c>
      <c r="K70" s="195">
        <v>292</v>
      </c>
      <c r="L70" s="180">
        <v>166.66666666666666</v>
      </c>
      <c r="M70" s="180">
        <v>166.66666666666666</v>
      </c>
      <c r="N70" s="180">
        <v>166.66666666666666</v>
      </c>
      <c r="O70" s="41">
        <v>166.66666666666666</v>
      </c>
      <c r="P70" s="41">
        <v>616.6666666666666</v>
      </c>
      <c r="Q70" s="41"/>
      <c r="R70" s="163">
        <f t="shared" si="14"/>
        <v>2533.513333333334</v>
      </c>
      <c r="S70" s="145">
        <v>2450</v>
      </c>
      <c r="T70" s="155">
        <f t="shared" si="15"/>
        <v>-83.51333333333378</v>
      </c>
      <c r="U70" s="42">
        <f t="shared" si="16"/>
        <v>1.0340870748299322</v>
      </c>
    </row>
    <row r="71" spans="1:21" ht="15">
      <c r="A71" s="1"/>
      <c r="B71" s="1"/>
      <c r="C71" s="1"/>
      <c r="D71" s="43" t="s">
        <v>93</v>
      </c>
      <c r="E71" s="195">
        <v>0</v>
      </c>
      <c r="F71" s="195">
        <v>578</v>
      </c>
      <c r="G71" s="195">
        <v>0</v>
      </c>
      <c r="H71" s="195">
        <v>826.38</v>
      </c>
      <c r="I71" s="195"/>
      <c r="J71" s="195">
        <v>0</v>
      </c>
      <c r="K71" s="195">
        <v>1094</v>
      </c>
      <c r="L71" s="180">
        <v>2500</v>
      </c>
      <c r="M71" s="180">
        <v>0</v>
      </c>
      <c r="N71" s="180">
        <v>0</v>
      </c>
      <c r="O71" s="41">
        <v>0</v>
      </c>
      <c r="P71" s="41">
        <v>500</v>
      </c>
      <c r="Q71" s="41"/>
      <c r="R71" s="163">
        <f t="shared" si="14"/>
        <v>5498.38</v>
      </c>
      <c r="S71" s="145">
        <v>5750.24</v>
      </c>
      <c r="T71" s="155">
        <f t="shared" si="15"/>
        <v>251.85999999999967</v>
      </c>
      <c r="U71" s="42">
        <f t="shared" si="16"/>
        <v>0.9562000890397618</v>
      </c>
    </row>
    <row r="72" spans="1:21" ht="15">
      <c r="A72" s="1"/>
      <c r="B72" s="1"/>
      <c r="C72" s="1"/>
      <c r="D72" s="43" t="s">
        <v>94</v>
      </c>
      <c r="E72" s="195"/>
      <c r="F72" s="195"/>
      <c r="G72" s="195"/>
      <c r="H72" s="195"/>
      <c r="I72" s="195">
        <v>0</v>
      </c>
      <c r="J72" s="195">
        <v>0</v>
      </c>
      <c r="K72" s="195">
        <v>0</v>
      </c>
      <c r="L72" s="180">
        <v>0</v>
      </c>
      <c r="M72" s="180">
        <v>0</v>
      </c>
      <c r="N72" s="180">
        <v>0</v>
      </c>
      <c r="O72" s="41">
        <v>0</v>
      </c>
      <c r="P72" s="41">
        <v>0</v>
      </c>
      <c r="Q72" s="41"/>
      <c r="R72" s="163">
        <f t="shared" si="14"/>
        <v>0</v>
      </c>
      <c r="S72" s="145">
        <v>0</v>
      </c>
      <c r="T72" s="155">
        <f t="shared" si="15"/>
        <v>0</v>
      </c>
      <c r="U72" s="42"/>
    </row>
    <row r="73" spans="1:21" ht="15">
      <c r="A73" s="1"/>
      <c r="B73" s="1"/>
      <c r="C73" s="1"/>
      <c r="D73" s="43" t="s">
        <v>95</v>
      </c>
      <c r="E73" s="195">
        <v>10.55</v>
      </c>
      <c r="F73" s="195">
        <v>1774.05</v>
      </c>
      <c r="G73" s="195">
        <v>2006.47</v>
      </c>
      <c r="H73" s="195">
        <v>0</v>
      </c>
      <c r="I73" s="195"/>
      <c r="J73" s="195">
        <v>5.4</v>
      </c>
      <c r="K73" s="195">
        <v>14.7</v>
      </c>
      <c r="L73" s="180">
        <v>7.67</v>
      </c>
      <c r="M73" s="180">
        <v>0</v>
      </c>
      <c r="N73" s="180">
        <v>500</v>
      </c>
      <c r="O73" s="41">
        <v>219.25</v>
      </c>
      <c r="P73" s="41">
        <v>455.25</v>
      </c>
      <c r="Q73" s="41"/>
      <c r="R73" s="163">
        <f t="shared" si="14"/>
        <v>4993.34</v>
      </c>
      <c r="S73" s="145">
        <v>1685.2</v>
      </c>
      <c r="T73" s="155">
        <f t="shared" si="15"/>
        <v>-3308.1400000000003</v>
      </c>
      <c r="U73" s="42">
        <f t="shared" si="16"/>
        <v>2.963054830287206</v>
      </c>
    </row>
    <row r="74" spans="1:21" ht="15">
      <c r="A74" s="1"/>
      <c r="B74" s="1"/>
      <c r="C74" s="1"/>
      <c r="D74" s="43" t="s">
        <v>96</v>
      </c>
      <c r="E74" s="195">
        <v>0</v>
      </c>
      <c r="F74" s="195">
        <v>78.58</v>
      </c>
      <c r="G74" s="195">
        <v>27.92</v>
      </c>
      <c r="H74" s="195">
        <v>55.48</v>
      </c>
      <c r="I74" s="195"/>
      <c r="J74" s="195">
        <v>43.32</v>
      </c>
      <c r="K74" s="195">
        <v>0</v>
      </c>
      <c r="L74" s="180">
        <v>0</v>
      </c>
      <c r="M74" s="180">
        <v>645</v>
      </c>
      <c r="N74" s="180">
        <v>1655</v>
      </c>
      <c r="O74" s="41">
        <v>0</v>
      </c>
      <c r="P74" s="41">
        <v>0</v>
      </c>
      <c r="Q74" s="41"/>
      <c r="R74" s="163">
        <f t="shared" si="14"/>
        <v>2505.3</v>
      </c>
      <c r="S74" s="145">
        <v>3800</v>
      </c>
      <c r="T74" s="155">
        <f t="shared" si="15"/>
        <v>1294.6999999999998</v>
      </c>
      <c r="U74" s="42">
        <f t="shared" si="16"/>
        <v>0.6592894736842105</v>
      </c>
    </row>
    <row r="75" spans="1:21" ht="15">
      <c r="A75" s="1"/>
      <c r="B75" s="1"/>
      <c r="C75" s="1"/>
      <c r="D75" s="43" t="s">
        <v>97</v>
      </c>
      <c r="E75" s="195">
        <v>0</v>
      </c>
      <c r="F75" s="195">
        <v>192.78</v>
      </c>
      <c r="G75" s="195">
        <v>147.15</v>
      </c>
      <c r="H75" s="195">
        <v>396.72</v>
      </c>
      <c r="I75" s="195">
        <v>1034.43</v>
      </c>
      <c r="J75" s="195">
        <v>716.68</v>
      </c>
      <c r="K75" s="195">
        <v>162</v>
      </c>
      <c r="L75" s="180">
        <v>307</v>
      </c>
      <c r="M75" s="180">
        <v>373.79999999999995</v>
      </c>
      <c r="N75" s="180">
        <v>1510</v>
      </c>
      <c r="O75" s="41">
        <v>150</v>
      </c>
      <c r="P75" s="41">
        <v>325</v>
      </c>
      <c r="Q75" s="41"/>
      <c r="R75" s="163">
        <f t="shared" si="14"/>
        <v>5315.56</v>
      </c>
      <c r="S75" s="145">
        <v>6020.107999999999</v>
      </c>
      <c r="T75" s="155">
        <f t="shared" si="15"/>
        <v>704.5479999999989</v>
      </c>
      <c r="U75" s="42">
        <f t="shared" si="16"/>
        <v>0.8829675480904996</v>
      </c>
    </row>
    <row r="76" spans="1:21" ht="15">
      <c r="A76" s="1"/>
      <c r="B76" s="1"/>
      <c r="C76" s="1"/>
      <c r="D76" s="43" t="s">
        <v>98</v>
      </c>
      <c r="E76" s="195">
        <v>0</v>
      </c>
      <c r="F76" s="195">
        <v>0</v>
      </c>
      <c r="G76" s="195">
        <v>0</v>
      </c>
      <c r="H76" s="195">
        <v>0</v>
      </c>
      <c r="I76" s="195"/>
      <c r="J76" s="195">
        <v>0</v>
      </c>
      <c r="K76" s="195">
        <v>0</v>
      </c>
      <c r="L76" s="180">
        <v>0</v>
      </c>
      <c r="M76" s="180">
        <v>1779</v>
      </c>
      <c r="N76" s="180">
        <v>1681.01</v>
      </c>
      <c r="O76" s="41">
        <v>0</v>
      </c>
      <c r="P76" s="41">
        <v>50</v>
      </c>
      <c r="Q76" s="41"/>
      <c r="R76" s="163">
        <f t="shared" si="14"/>
        <v>3510.01</v>
      </c>
      <c r="S76" s="145">
        <v>9100.01</v>
      </c>
      <c r="T76" s="155">
        <f t="shared" si="15"/>
        <v>5590</v>
      </c>
      <c r="U76" s="42">
        <f t="shared" si="16"/>
        <v>0.3857149607527904</v>
      </c>
    </row>
    <row r="77" spans="1:21" ht="15">
      <c r="A77" s="1"/>
      <c r="B77" s="1"/>
      <c r="C77" s="1"/>
      <c r="D77" s="43" t="s">
        <v>99</v>
      </c>
      <c r="E77" s="195">
        <v>0</v>
      </c>
      <c r="F77" s="195">
        <v>0</v>
      </c>
      <c r="G77" s="195">
        <v>375.64</v>
      </c>
      <c r="H77" s="195">
        <v>0</v>
      </c>
      <c r="I77" s="195">
        <v>116.7</v>
      </c>
      <c r="J77" s="195">
        <v>533.2</v>
      </c>
      <c r="K77" s="195">
        <v>66</v>
      </c>
      <c r="L77" s="180">
        <v>104.53</v>
      </c>
      <c r="M77" s="180">
        <v>408.53</v>
      </c>
      <c r="N77" s="180">
        <v>2706.58</v>
      </c>
      <c r="O77" s="41">
        <v>166.66666666666666</v>
      </c>
      <c r="P77" s="41">
        <v>266.66666666666663</v>
      </c>
      <c r="Q77" s="41"/>
      <c r="R77" s="163">
        <f t="shared" si="14"/>
        <v>4744.513333333334</v>
      </c>
      <c r="S77" s="145">
        <v>5199.753333333334</v>
      </c>
      <c r="T77" s="155">
        <f t="shared" si="15"/>
        <v>455.2399999999998</v>
      </c>
      <c r="U77" s="42">
        <f t="shared" si="16"/>
        <v>0.9124496931264688</v>
      </c>
    </row>
    <row r="78" spans="1:21" ht="15">
      <c r="A78" s="1"/>
      <c r="B78" s="1"/>
      <c r="C78" s="1"/>
      <c r="D78" s="43" t="s">
        <v>100</v>
      </c>
      <c r="E78" s="195">
        <v>373.01</v>
      </c>
      <c r="F78" s="195">
        <v>2321.68</v>
      </c>
      <c r="G78" s="195">
        <v>4539.95</v>
      </c>
      <c r="H78" s="195">
        <v>4043.18</v>
      </c>
      <c r="I78" s="195">
        <v>1678.13</v>
      </c>
      <c r="J78" s="195">
        <v>777.9</v>
      </c>
      <c r="K78" s="195">
        <f>3580+390</f>
        <v>3970</v>
      </c>
      <c r="L78" s="180">
        <v>2856.09</v>
      </c>
      <c r="M78" s="180">
        <v>1903.32</v>
      </c>
      <c r="N78" s="180">
        <v>5262.74</v>
      </c>
      <c r="O78" s="41">
        <v>2348</v>
      </c>
      <c r="P78" s="41">
        <v>3330</v>
      </c>
      <c r="Q78" s="41"/>
      <c r="R78" s="163">
        <f t="shared" si="14"/>
        <v>33404</v>
      </c>
      <c r="S78" s="145">
        <v>31676.869999999995</v>
      </c>
      <c r="T78" s="155">
        <f t="shared" si="15"/>
        <v>-1727.1300000000047</v>
      </c>
      <c r="U78" s="42">
        <f t="shared" si="16"/>
        <v>1.0545233793616606</v>
      </c>
    </row>
    <row r="79" spans="1:21" ht="15">
      <c r="A79" s="1"/>
      <c r="B79" s="1"/>
      <c r="C79" s="1"/>
      <c r="D79" s="43" t="s">
        <v>178</v>
      </c>
      <c r="E79" s="195">
        <v>0</v>
      </c>
      <c r="F79" s="195">
        <v>2283.17</v>
      </c>
      <c r="G79" s="195">
        <v>224.99</v>
      </c>
      <c r="H79" s="195">
        <v>1808.6</v>
      </c>
      <c r="I79" s="195">
        <v>3946.25</v>
      </c>
      <c r="J79" s="195">
        <v>188.6</v>
      </c>
      <c r="K79" s="195">
        <v>189</v>
      </c>
      <c r="L79" s="180">
        <v>1291.6666666666667</v>
      </c>
      <c r="M79" s="180">
        <v>1291.6666666666667</v>
      </c>
      <c r="N79" s="180">
        <v>1438.67</v>
      </c>
      <c r="O79" s="41">
        <v>1291.6666666666667</v>
      </c>
      <c r="P79" s="41">
        <v>1291.6666666666667</v>
      </c>
      <c r="Q79" s="41"/>
      <c r="R79" s="163">
        <f t="shared" si="14"/>
        <v>15245.946666666665</v>
      </c>
      <c r="S79" s="145">
        <v>16394.336666666666</v>
      </c>
      <c r="T79" s="155">
        <f t="shared" si="15"/>
        <v>1148.3900000000012</v>
      </c>
      <c r="U79" s="42">
        <f t="shared" si="16"/>
        <v>0.9299520301827805</v>
      </c>
    </row>
    <row r="80" spans="1:21" ht="15">
      <c r="A80" s="1"/>
      <c r="B80" s="1"/>
      <c r="C80" s="1"/>
      <c r="D80" s="43" t="s">
        <v>179</v>
      </c>
      <c r="E80" s="195">
        <v>213.6</v>
      </c>
      <c r="F80" s="195">
        <v>8110</v>
      </c>
      <c r="G80" s="195">
        <v>433.81</v>
      </c>
      <c r="H80" s="195">
        <v>213.75</v>
      </c>
      <c r="I80" s="195">
        <v>2810.04</v>
      </c>
      <c r="J80" s="195">
        <v>169</v>
      </c>
      <c r="K80" s="195">
        <v>921</v>
      </c>
      <c r="L80" s="180">
        <v>0</v>
      </c>
      <c r="M80" s="180">
        <v>162.5</v>
      </c>
      <c r="N80" s="180">
        <v>12249</v>
      </c>
      <c r="O80" s="41">
        <v>0</v>
      </c>
      <c r="P80" s="41">
        <f>1000+12499</f>
        <v>13499</v>
      </c>
      <c r="Q80" s="41"/>
      <c r="R80" s="163">
        <f t="shared" si="14"/>
        <v>38781.7</v>
      </c>
      <c r="S80" s="145">
        <v>34999.96</v>
      </c>
      <c r="T80" s="155">
        <f t="shared" si="15"/>
        <v>-3781.739999999998</v>
      </c>
      <c r="U80" s="42">
        <f t="shared" si="16"/>
        <v>1.108049837771243</v>
      </c>
    </row>
    <row r="81" spans="1:21" ht="15">
      <c r="A81" s="1"/>
      <c r="B81" s="1"/>
      <c r="C81" s="1"/>
      <c r="D81" s="43" t="s">
        <v>103</v>
      </c>
      <c r="E81" s="195">
        <v>2417.52</v>
      </c>
      <c r="F81" s="195">
        <v>4474.56</v>
      </c>
      <c r="G81" s="195">
        <v>3146.24</v>
      </c>
      <c r="H81" s="195">
        <v>5858.36</v>
      </c>
      <c r="I81" s="195">
        <v>2025.53</v>
      </c>
      <c r="J81" s="195">
        <v>1324.65</v>
      </c>
      <c r="K81" s="195">
        <v>6299</v>
      </c>
      <c r="L81" s="180">
        <v>1980.23</v>
      </c>
      <c r="M81" s="180">
        <v>2596.3</v>
      </c>
      <c r="N81" s="180">
        <v>36953.71</v>
      </c>
      <c r="O81" s="41">
        <v>50889.79</v>
      </c>
      <c r="P81" s="41">
        <v>1859.79</v>
      </c>
      <c r="Q81" s="41"/>
      <c r="R81" s="163">
        <f t="shared" si="14"/>
        <v>119825.68000000001</v>
      </c>
      <c r="S81" s="145">
        <v>193800.57000000004</v>
      </c>
      <c r="T81" s="155">
        <f t="shared" si="15"/>
        <v>73974.89000000003</v>
      </c>
      <c r="U81" s="42">
        <f t="shared" si="16"/>
        <v>0.6182937439244889</v>
      </c>
    </row>
    <row r="82" spans="1:21" ht="15" hidden="1">
      <c r="A82" s="1"/>
      <c r="B82" s="1"/>
      <c r="C82" s="1"/>
      <c r="D82" s="43" t="s">
        <v>170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180">
        <v>0</v>
      </c>
      <c r="M82" s="180">
        <v>0</v>
      </c>
      <c r="N82" s="180">
        <v>0</v>
      </c>
      <c r="O82" s="41">
        <v>0</v>
      </c>
      <c r="P82" s="41">
        <v>0</v>
      </c>
      <c r="Q82" s="41"/>
      <c r="R82" s="163">
        <f t="shared" si="14"/>
        <v>0</v>
      </c>
      <c r="S82" s="145">
        <v>0</v>
      </c>
      <c r="T82" s="155">
        <f t="shared" si="15"/>
        <v>0</v>
      </c>
      <c r="U82" s="42">
        <v>0</v>
      </c>
    </row>
    <row r="83" spans="1:21" s="86" customFormat="1" ht="15">
      <c r="A83" s="1"/>
      <c r="B83" s="1"/>
      <c r="C83" s="1"/>
      <c r="D83" s="43" t="s">
        <v>175</v>
      </c>
      <c r="E83" s="195">
        <v>0</v>
      </c>
      <c r="F83" s="195">
        <v>0</v>
      </c>
      <c r="G83" s="195">
        <v>1481.14</v>
      </c>
      <c r="H83" s="195">
        <v>2114.58</v>
      </c>
      <c r="I83" s="195">
        <v>23.85</v>
      </c>
      <c r="J83" s="195">
        <v>0</v>
      </c>
      <c r="K83" s="195">
        <v>44</v>
      </c>
      <c r="L83" s="180">
        <v>1000</v>
      </c>
      <c r="M83" s="180">
        <v>1000</v>
      </c>
      <c r="N83" s="180">
        <v>0</v>
      </c>
      <c r="O83" s="41">
        <v>2000</v>
      </c>
      <c r="P83" s="41">
        <v>963</v>
      </c>
      <c r="Q83" s="41"/>
      <c r="R83" s="163">
        <f t="shared" si="14"/>
        <v>8626.57</v>
      </c>
      <c r="S83" s="145">
        <v>11559</v>
      </c>
      <c r="T83" s="155">
        <f t="shared" si="15"/>
        <v>2932.4300000000003</v>
      </c>
      <c r="U83" s="42">
        <f t="shared" si="16"/>
        <v>0.7463076390691236</v>
      </c>
    </row>
    <row r="84" spans="1:21" s="86" customFormat="1" ht="15">
      <c r="A84" s="1"/>
      <c r="B84" s="1"/>
      <c r="C84" s="1"/>
      <c r="D84" s="43" t="s">
        <v>176</v>
      </c>
      <c r="E84" s="195">
        <v>0</v>
      </c>
      <c r="F84" s="195">
        <v>0</v>
      </c>
      <c r="G84" s="195">
        <v>3598.56</v>
      </c>
      <c r="H84" s="195">
        <v>2100</v>
      </c>
      <c r="I84" s="195">
        <v>1002.67</v>
      </c>
      <c r="J84" s="195">
        <v>359.88</v>
      </c>
      <c r="K84" s="195">
        <v>0</v>
      </c>
      <c r="L84" s="180">
        <v>0</v>
      </c>
      <c r="M84" s="180">
        <v>0</v>
      </c>
      <c r="N84" s="180">
        <v>0</v>
      </c>
      <c r="O84" s="41">
        <v>0</v>
      </c>
      <c r="P84" s="41">
        <v>0</v>
      </c>
      <c r="Q84" s="41"/>
      <c r="R84" s="163">
        <f t="shared" si="14"/>
        <v>7061.11</v>
      </c>
      <c r="S84" s="145">
        <v>1500</v>
      </c>
      <c r="T84" s="155">
        <f t="shared" si="15"/>
        <v>-5561.11</v>
      </c>
      <c r="U84" s="42">
        <f t="shared" si="16"/>
        <v>4.7074066666666665</v>
      </c>
    </row>
    <row r="85" spans="1:21" s="86" customFormat="1" ht="15">
      <c r="A85" s="1"/>
      <c r="B85" s="1"/>
      <c r="C85" s="1"/>
      <c r="D85" s="43" t="s">
        <v>177</v>
      </c>
      <c r="E85" s="195">
        <v>0</v>
      </c>
      <c r="F85" s="195">
        <v>35.99</v>
      </c>
      <c r="G85" s="195">
        <v>1208.2</v>
      </c>
      <c r="H85" s="195">
        <v>2698.4</v>
      </c>
      <c r="I85" s="195">
        <v>0</v>
      </c>
      <c r="J85" s="195">
        <v>0</v>
      </c>
      <c r="K85" s="195">
        <v>0</v>
      </c>
      <c r="L85" s="180">
        <v>0</v>
      </c>
      <c r="M85" s="180">
        <v>3753</v>
      </c>
      <c r="N85" s="180">
        <v>0</v>
      </c>
      <c r="O85" s="41">
        <v>0</v>
      </c>
      <c r="P85" s="41">
        <v>1041</v>
      </c>
      <c r="Q85" s="41"/>
      <c r="R85" s="163">
        <f t="shared" si="14"/>
        <v>8736.59</v>
      </c>
      <c r="S85" s="145">
        <v>7116.33</v>
      </c>
      <c r="T85" s="155">
        <f t="shared" si="15"/>
        <v>-1620.2600000000002</v>
      </c>
      <c r="U85" s="42">
        <f t="shared" si="16"/>
        <v>1.2276819652826667</v>
      </c>
    </row>
    <row r="86" spans="1:21" s="86" customFormat="1" ht="15">
      <c r="A86" s="1"/>
      <c r="B86" s="1"/>
      <c r="C86" s="1"/>
      <c r="D86" s="43" t="s">
        <v>225</v>
      </c>
      <c r="E86" s="195">
        <v>0</v>
      </c>
      <c r="F86" s="195">
        <v>0</v>
      </c>
      <c r="G86" s="195">
        <v>563.1</v>
      </c>
      <c r="H86" s="195">
        <v>0</v>
      </c>
      <c r="I86" s="195">
        <v>148.41</v>
      </c>
      <c r="J86" s="195">
        <v>0</v>
      </c>
      <c r="K86" s="195"/>
      <c r="L86" s="180"/>
      <c r="M86" s="180"/>
      <c r="N86" s="180"/>
      <c r="O86" s="41"/>
      <c r="P86" s="41"/>
      <c r="Q86" s="41"/>
      <c r="R86" s="163">
        <f t="shared" si="14"/>
        <v>711.51</v>
      </c>
      <c r="S86" s="145"/>
      <c r="T86" s="155">
        <f t="shared" si="15"/>
        <v>-711.51</v>
      </c>
      <c r="U86" s="42">
        <v>1</v>
      </c>
    </row>
    <row r="87" spans="1:21" ht="15">
      <c r="A87" s="1"/>
      <c r="B87" s="1"/>
      <c r="C87" s="1"/>
      <c r="D87" s="43" t="s">
        <v>104</v>
      </c>
      <c r="E87" s="195">
        <v>135.54</v>
      </c>
      <c r="F87" s="195">
        <v>942.83</v>
      </c>
      <c r="G87" s="195">
        <v>2316.63</v>
      </c>
      <c r="H87" s="195">
        <v>799.18</v>
      </c>
      <c r="I87" s="195">
        <v>341.33</v>
      </c>
      <c r="J87" s="195">
        <v>-2202.11</v>
      </c>
      <c r="K87" s="195">
        <v>776</v>
      </c>
      <c r="L87" s="180">
        <v>1250</v>
      </c>
      <c r="M87" s="180">
        <v>7317.69</v>
      </c>
      <c r="N87" s="180">
        <v>23801.04</v>
      </c>
      <c r="O87" s="41">
        <v>1922</v>
      </c>
      <c r="P87" s="41">
        <v>1063</v>
      </c>
      <c r="Q87" s="41"/>
      <c r="R87" s="163">
        <f t="shared" si="14"/>
        <v>38463.130000000005</v>
      </c>
      <c r="S87" s="145">
        <v>39899.67</v>
      </c>
      <c r="T87" s="155">
        <f t="shared" si="15"/>
        <v>1436.5399999999936</v>
      </c>
      <c r="U87" s="42">
        <f t="shared" si="16"/>
        <v>0.9639961934522268</v>
      </c>
    </row>
    <row r="88" spans="1:21" ht="15">
      <c r="A88" s="1"/>
      <c r="B88" s="1"/>
      <c r="C88" s="1"/>
      <c r="D88" s="43" t="s">
        <v>105</v>
      </c>
      <c r="E88" s="195">
        <v>0</v>
      </c>
      <c r="F88" s="195">
        <v>0</v>
      </c>
      <c r="G88" s="195">
        <v>0</v>
      </c>
      <c r="H88" s="195">
        <v>25</v>
      </c>
      <c r="I88" s="195"/>
      <c r="J88" s="195">
        <v>0</v>
      </c>
      <c r="K88" s="195">
        <v>0</v>
      </c>
      <c r="L88" s="180">
        <v>0</v>
      </c>
      <c r="M88" s="180">
        <v>0</v>
      </c>
      <c r="N88" s="180">
        <v>0</v>
      </c>
      <c r="O88" s="41">
        <v>0</v>
      </c>
      <c r="P88" s="41">
        <v>1200</v>
      </c>
      <c r="Q88" s="41"/>
      <c r="R88" s="163">
        <f t="shared" si="14"/>
        <v>1225</v>
      </c>
      <c r="S88" s="145">
        <v>1200</v>
      </c>
      <c r="T88" s="155">
        <f t="shared" si="15"/>
        <v>-25</v>
      </c>
      <c r="U88" s="42">
        <f t="shared" si="16"/>
        <v>1.0208333333333333</v>
      </c>
    </row>
    <row r="89" spans="1:21" ht="15">
      <c r="A89" s="1"/>
      <c r="B89" s="1"/>
      <c r="C89" s="1"/>
      <c r="D89" s="43" t="s">
        <v>106</v>
      </c>
      <c r="E89" s="195">
        <v>0</v>
      </c>
      <c r="F89" s="195">
        <v>0</v>
      </c>
      <c r="G89" s="195">
        <v>0</v>
      </c>
      <c r="H89" s="195">
        <v>0</v>
      </c>
      <c r="I89" s="195">
        <v>0</v>
      </c>
      <c r="J89" s="195">
        <v>0</v>
      </c>
      <c r="K89" s="195">
        <v>0</v>
      </c>
      <c r="L89" s="180">
        <v>0</v>
      </c>
      <c r="M89" s="180">
        <v>0</v>
      </c>
      <c r="N89" s="180">
        <v>0</v>
      </c>
      <c r="O89" s="41">
        <v>0</v>
      </c>
      <c r="P89" s="41">
        <v>1200</v>
      </c>
      <c r="Q89" s="41"/>
      <c r="R89" s="163">
        <f t="shared" si="14"/>
        <v>1200</v>
      </c>
      <c r="S89" s="145">
        <v>1200</v>
      </c>
      <c r="T89" s="155">
        <f t="shared" si="15"/>
        <v>0</v>
      </c>
      <c r="U89" s="42">
        <f t="shared" si="16"/>
        <v>1</v>
      </c>
    </row>
    <row r="90" spans="1:21" ht="15">
      <c r="A90" s="1"/>
      <c r="B90" s="1"/>
      <c r="C90" s="1"/>
      <c r="D90" s="43" t="s">
        <v>107</v>
      </c>
      <c r="E90" s="195">
        <v>0</v>
      </c>
      <c r="F90" s="195">
        <v>0</v>
      </c>
      <c r="G90" s="195">
        <v>545.23</v>
      </c>
      <c r="H90" s="195">
        <v>0</v>
      </c>
      <c r="I90" s="195">
        <v>0</v>
      </c>
      <c r="J90" s="195">
        <v>0</v>
      </c>
      <c r="K90" s="195">
        <v>0</v>
      </c>
      <c r="L90" s="180">
        <v>0</v>
      </c>
      <c r="M90" s="180">
        <v>0</v>
      </c>
      <c r="N90" s="180">
        <v>0</v>
      </c>
      <c r="O90" s="41">
        <v>0</v>
      </c>
      <c r="P90" s="41">
        <v>1200</v>
      </c>
      <c r="Q90" s="41"/>
      <c r="R90" s="163">
        <f t="shared" si="14"/>
        <v>1745.23</v>
      </c>
      <c r="S90" s="145">
        <v>1200</v>
      </c>
      <c r="T90" s="155">
        <f t="shared" si="15"/>
        <v>-545.23</v>
      </c>
      <c r="U90" s="42">
        <f t="shared" si="16"/>
        <v>1.4543583333333334</v>
      </c>
    </row>
    <row r="91" spans="1:21" ht="15">
      <c r="A91" s="1"/>
      <c r="B91" s="1"/>
      <c r="C91" s="1"/>
      <c r="D91" s="43" t="s">
        <v>108</v>
      </c>
      <c r="E91" s="195">
        <v>0</v>
      </c>
      <c r="F91" s="195">
        <v>0</v>
      </c>
      <c r="G91" s="195">
        <v>0</v>
      </c>
      <c r="H91" s="195">
        <v>0</v>
      </c>
      <c r="I91" s="195">
        <v>0</v>
      </c>
      <c r="J91" s="195">
        <v>0</v>
      </c>
      <c r="K91" s="195">
        <v>0</v>
      </c>
      <c r="L91" s="180">
        <v>0</v>
      </c>
      <c r="M91" s="180">
        <v>0</v>
      </c>
      <c r="N91" s="180">
        <v>0</v>
      </c>
      <c r="O91" s="41">
        <v>0</v>
      </c>
      <c r="P91" s="41">
        <v>1200</v>
      </c>
      <c r="Q91" s="41"/>
      <c r="R91" s="163">
        <f t="shared" si="14"/>
        <v>1200</v>
      </c>
      <c r="S91" s="145">
        <v>1200</v>
      </c>
      <c r="T91" s="155">
        <f t="shared" si="15"/>
        <v>0</v>
      </c>
      <c r="U91" s="42">
        <f t="shared" si="16"/>
        <v>1</v>
      </c>
    </row>
    <row r="92" spans="1:21" ht="15">
      <c r="A92" s="1"/>
      <c r="B92" s="1"/>
      <c r="C92" s="1"/>
      <c r="D92" s="43" t="s">
        <v>109</v>
      </c>
      <c r="E92" s="195">
        <v>0</v>
      </c>
      <c r="F92" s="195">
        <v>0</v>
      </c>
      <c r="G92" s="195">
        <v>0</v>
      </c>
      <c r="H92" s="195">
        <v>0</v>
      </c>
      <c r="I92" s="195">
        <v>0</v>
      </c>
      <c r="J92" s="195">
        <v>0</v>
      </c>
      <c r="K92" s="195">
        <v>0</v>
      </c>
      <c r="L92" s="180">
        <v>0</v>
      </c>
      <c r="M92" s="180">
        <v>0</v>
      </c>
      <c r="N92" s="180">
        <v>0</v>
      </c>
      <c r="O92" s="41">
        <v>0</v>
      </c>
      <c r="P92" s="41">
        <v>1200</v>
      </c>
      <c r="Q92" s="41"/>
      <c r="R92" s="163">
        <f t="shared" si="14"/>
        <v>1200</v>
      </c>
      <c r="S92" s="145">
        <v>1200</v>
      </c>
      <c r="T92" s="155">
        <f t="shared" si="15"/>
        <v>0</v>
      </c>
      <c r="U92" s="42">
        <f t="shared" si="16"/>
        <v>1</v>
      </c>
    </row>
    <row r="93" spans="1:21" ht="15">
      <c r="A93" s="1"/>
      <c r="B93" s="1"/>
      <c r="C93" s="1"/>
      <c r="D93" s="43" t="s">
        <v>110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80">
        <v>0</v>
      </c>
      <c r="M93" s="180">
        <v>1600</v>
      </c>
      <c r="N93" s="180">
        <v>0</v>
      </c>
      <c r="O93" s="41">
        <v>0</v>
      </c>
      <c r="P93" s="41">
        <v>200</v>
      </c>
      <c r="Q93" s="41"/>
      <c r="R93" s="163">
        <f t="shared" si="14"/>
        <v>1800</v>
      </c>
      <c r="S93" s="145">
        <v>1800</v>
      </c>
      <c r="T93" s="155">
        <f t="shared" si="15"/>
        <v>0</v>
      </c>
      <c r="U93" s="42">
        <f t="shared" si="16"/>
        <v>1</v>
      </c>
    </row>
    <row r="94" spans="1:21" ht="15">
      <c r="A94" s="1"/>
      <c r="B94" s="1"/>
      <c r="C94" s="1"/>
      <c r="D94" s="43" t="s">
        <v>111</v>
      </c>
      <c r="E94" s="195">
        <v>138.24</v>
      </c>
      <c r="F94" s="195">
        <v>675</v>
      </c>
      <c r="G94" s="195">
        <v>0</v>
      </c>
      <c r="H94" s="195">
        <v>0</v>
      </c>
      <c r="I94" s="195">
        <v>12.65</v>
      </c>
      <c r="J94" s="195">
        <v>66.46</v>
      </c>
      <c r="K94" s="195">
        <v>0</v>
      </c>
      <c r="L94" s="180">
        <v>862.64</v>
      </c>
      <c r="M94" s="180">
        <v>0</v>
      </c>
      <c r="N94" s="180">
        <v>179.19</v>
      </c>
      <c r="O94" s="41">
        <v>88</v>
      </c>
      <c r="P94" s="41">
        <v>815</v>
      </c>
      <c r="Q94" s="41"/>
      <c r="R94" s="163">
        <f t="shared" si="14"/>
        <v>2837.1800000000003</v>
      </c>
      <c r="S94" s="145">
        <v>2685.38</v>
      </c>
      <c r="T94" s="155">
        <f t="shared" si="15"/>
        <v>-151.80000000000018</v>
      </c>
      <c r="U94" s="42">
        <f t="shared" si="16"/>
        <v>1.056528312566564</v>
      </c>
    </row>
    <row r="95" spans="1:21" ht="15">
      <c r="A95" s="1"/>
      <c r="B95" s="1"/>
      <c r="C95" s="1"/>
      <c r="D95" s="43" t="s">
        <v>112</v>
      </c>
      <c r="E95" s="195">
        <v>64.77</v>
      </c>
      <c r="F95" s="195">
        <v>738.38</v>
      </c>
      <c r="G95" s="195">
        <v>2729.79</v>
      </c>
      <c r="H95" s="195">
        <v>325.35</v>
      </c>
      <c r="I95" s="195">
        <v>226.9</v>
      </c>
      <c r="J95" s="195">
        <v>672.47</v>
      </c>
      <c r="K95" s="195">
        <v>1327</v>
      </c>
      <c r="L95" s="180">
        <v>825</v>
      </c>
      <c r="M95" s="180">
        <v>1349.67</v>
      </c>
      <c r="N95" s="180">
        <v>2211.58</v>
      </c>
      <c r="O95" s="41">
        <v>4257</v>
      </c>
      <c r="P95" s="41">
        <f>1050+1377</f>
        <v>2427</v>
      </c>
      <c r="Q95" s="41"/>
      <c r="R95" s="163">
        <f t="shared" si="14"/>
        <v>17154.91</v>
      </c>
      <c r="S95" s="145">
        <v>19031.29</v>
      </c>
      <c r="T95" s="155">
        <f t="shared" si="15"/>
        <v>1876.380000000001</v>
      </c>
      <c r="U95" s="42">
        <f t="shared" si="16"/>
        <v>0.901405527423522</v>
      </c>
    </row>
    <row r="96" spans="1:21" ht="15">
      <c r="A96" s="1"/>
      <c r="B96" s="1"/>
      <c r="C96" s="1"/>
      <c r="D96" s="43" t="s">
        <v>113</v>
      </c>
      <c r="E96" s="195">
        <v>187.48</v>
      </c>
      <c r="F96" s="195">
        <v>4881.48</v>
      </c>
      <c r="G96" s="195">
        <v>244.4</v>
      </c>
      <c r="H96" s="195">
        <v>15132.13</v>
      </c>
      <c r="I96" s="195">
        <v>612.93</v>
      </c>
      <c r="J96" s="195">
        <v>69.95</v>
      </c>
      <c r="K96" s="195">
        <v>3924</v>
      </c>
      <c r="L96" s="180">
        <v>3491.12</v>
      </c>
      <c r="M96" s="180">
        <f>22337.97-4479</f>
        <v>17858.97</v>
      </c>
      <c r="N96" s="180">
        <v>12613.359999999999</v>
      </c>
      <c r="O96" s="41">
        <v>14069.11</v>
      </c>
      <c r="P96" s="41">
        <v>2782</v>
      </c>
      <c r="Q96" s="41"/>
      <c r="R96" s="163">
        <f t="shared" si="14"/>
        <v>75866.93</v>
      </c>
      <c r="S96" s="145">
        <v>84952.23</v>
      </c>
      <c r="T96" s="155">
        <f t="shared" si="15"/>
        <v>9085.300000000003</v>
      </c>
      <c r="U96" s="42">
        <f t="shared" si="16"/>
        <v>0.8930540140029284</v>
      </c>
    </row>
    <row r="97" spans="1:21" ht="15">
      <c r="A97" s="1"/>
      <c r="B97" s="1"/>
      <c r="C97" s="1"/>
      <c r="D97" s="43" t="s">
        <v>114</v>
      </c>
      <c r="E97" s="195">
        <v>13201.93</v>
      </c>
      <c r="F97" s="195">
        <v>7792.19</v>
      </c>
      <c r="G97" s="195">
        <v>-7013.74</v>
      </c>
      <c r="H97" s="195">
        <v>0</v>
      </c>
      <c r="I97" s="195">
        <v>4401</v>
      </c>
      <c r="J97" s="195">
        <v>0</v>
      </c>
      <c r="K97" s="195">
        <v>804</v>
      </c>
      <c r="L97" s="180">
        <v>0</v>
      </c>
      <c r="M97" s="180">
        <v>0</v>
      </c>
      <c r="N97" s="180">
        <v>0</v>
      </c>
      <c r="O97" s="41">
        <v>2300</v>
      </c>
      <c r="P97" s="41">
        <v>378</v>
      </c>
      <c r="Q97" s="41"/>
      <c r="R97" s="163">
        <f t="shared" si="14"/>
        <v>21863.379999999997</v>
      </c>
      <c r="S97" s="145">
        <v>23550</v>
      </c>
      <c r="T97" s="155">
        <f t="shared" si="15"/>
        <v>1686.6200000000026</v>
      </c>
      <c r="U97" s="42">
        <f t="shared" si="16"/>
        <v>0.9283813163481952</v>
      </c>
    </row>
    <row r="98" spans="1:21" ht="15">
      <c r="A98" s="1"/>
      <c r="B98" s="1"/>
      <c r="C98" s="1"/>
      <c r="D98" s="43" t="s">
        <v>115</v>
      </c>
      <c r="E98" s="195">
        <v>3216.78</v>
      </c>
      <c r="F98" s="195">
        <v>3216.79</v>
      </c>
      <c r="G98" s="195">
        <v>3216.78</v>
      </c>
      <c r="H98" s="195">
        <v>3216.78</v>
      </c>
      <c r="I98" s="195">
        <v>3216.79</v>
      </c>
      <c r="J98" s="195">
        <v>3216.79</v>
      </c>
      <c r="K98" s="195">
        <v>3217</v>
      </c>
      <c r="L98" s="180">
        <v>3140</v>
      </c>
      <c r="M98" s="180">
        <v>3140</v>
      </c>
      <c r="N98" s="180">
        <v>3140</v>
      </c>
      <c r="O98" s="41">
        <v>3140</v>
      </c>
      <c r="P98" s="41">
        <v>3140</v>
      </c>
      <c r="Q98" s="41"/>
      <c r="R98" s="163">
        <f t="shared" si="14"/>
        <v>38217.71000000001</v>
      </c>
      <c r="S98" s="145">
        <v>37840</v>
      </c>
      <c r="T98" s="155">
        <f t="shared" si="15"/>
        <v>-377.7100000000064</v>
      </c>
      <c r="U98" s="42">
        <f t="shared" si="16"/>
        <v>1.0099817653276957</v>
      </c>
    </row>
    <row r="99" spans="1:21" ht="15">
      <c r="A99" s="1"/>
      <c r="B99" s="1"/>
      <c r="C99" s="1"/>
      <c r="D99" s="43" t="s">
        <v>116</v>
      </c>
      <c r="E99" s="195">
        <v>760</v>
      </c>
      <c r="F99" s="195">
        <v>450</v>
      </c>
      <c r="G99" s="195">
        <v>1250</v>
      </c>
      <c r="H99" s="195">
        <v>5330</v>
      </c>
      <c r="I99" s="195">
        <v>1132.83</v>
      </c>
      <c r="J99" s="195">
        <v>0</v>
      </c>
      <c r="K99" s="195">
        <v>519</v>
      </c>
      <c r="L99" s="180">
        <v>1690</v>
      </c>
      <c r="M99" s="180">
        <v>1275</v>
      </c>
      <c r="N99" s="180">
        <f>3911-2000</f>
        <v>1911</v>
      </c>
      <c r="O99" s="41">
        <v>1541.6666666666667</v>
      </c>
      <c r="P99" s="41">
        <v>541.6666666666666</v>
      </c>
      <c r="Q99" s="41"/>
      <c r="R99" s="163">
        <f t="shared" si="14"/>
        <v>16401.163333333334</v>
      </c>
      <c r="S99" s="145">
        <v>18623.333333333336</v>
      </c>
      <c r="T99" s="155">
        <f t="shared" si="15"/>
        <v>2222.170000000002</v>
      </c>
      <c r="U99" s="42">
        <f t="shared" si="16"/>
        <v>0.8806781814927509</v>
      </c>
    </row>
    <row r="100" spans="1:21" ht="15">
      <c r="A100" s="1"/>
      <c r="B100" s="1"/>
      <c r="C100" s="1"/>
      <c r="D100" s="43" t="s">
        <v>117</v>
      </c>
      <c r="E100" s="195">
        <v>0</v>
      </c>
      <c r="F100" s="195">
        <v>0</v>
      </c>
      <c r="G100" s="195">
        <v>1135</v>
      </c>
      <c r="H100" s="195">
        <v>0</v>
      </c>
      <c r="I100" s="195">
        <v>1236</v>
      </c>
      <c r="J100" s="195">
        <v>180</v>
      </c>
      <c r="K100" s="195">
        <v>156</v>
      </c>
      <c r="L100" s="180">
        <v>212</v>
      </c>
      <c r="M100" s="180">
        <v>0</v>
      </c>
      <c r="N100" s="180">
        <v>1000</v>
      </c>
      <c r="O100" s="41">
        <v>366.6666666666667</v>
      </c>
      <c r="P100" s="41">
        <v>816.6666666666667</v>
      </c>
      <c r="Q100" s="41"/>
      <c r="R100" s="163">
        <f t="shared" si="14"/>
        <v>5102.333333333334</v>
      </c>
      <c r="S100" s="145">
        <v>4075.283333333333</v>
      </c>
      <c r="T100" s="155">
        <f t="shared" si="15"/>
        <v>-1027.050000000001</v>
      </c>
      <c r="U100" s="42">
        <f t="shared" si="16"/>
        <v>1.25201928700254</v>
      </c>
    </row>
    <row r="101" spans="1:21" ht="15">
      <c r="A101" s="1"/>
      <c r="B101" s="1"/>
      <c r="C101" s="1"/>
      <c r="D101" s="43" t="s">
        <v>118</v>
      </c>
      <c r="E101" s="195">
        <v>0</v>
      </c>
      <c r="F101" s="195">
        <v>0</v>
      </c>
      <c r="G101" s="195">
        <v>1750</v>
      </c>
      <c r="H101" s="195">
        <v>500</v>
      </c>
      <c r="I101" s="195">
        <v>500</v>
      </c>
      <c r="J101" s="195">
        <v>0</v>
      </c>
      <c r="K101" s="195">
        <v>1075</v>
      </c>
      <c r="L101" s="180">
        <v>4050</v>
      </c>
      <c r="M101" s="180">
        <v>21050</v>
      </c>
      <c r="N101" s="180">
        <v>3150</v>
      </c>
      <c r="O101" s="41">
        <v>250</v>
      </c>
      <c r="P101" s="41">
        <v>3750</v>
      </c>
      <c r="Q101" s="41"/>
      <c r="R101" s="163">
        <f t="shared" si="14"/>
        <v>36075</v>
      </c>
      <c r="S101" s="145">
        <v>35000</v>
      </c>
      <c r="T101" s="155">
        <f t="shared" si="15"/>
        <v>-1075</v>
      </c>
      <c r="U101" s="42">
        <f t="shared" si="16"/>
        <v>1.0307142857142857</v>
      </c>
    </row>
    <row r="102" spans="1:21" ht="15">
      <c r="A102" s="1"/>
      <c r="B102" s="1"/>
      <c r="C102" s="1"/>
      <c r="D102" s="43" t="s">
        <v>119</v>
      </c>
      <c r="E102" s="195">
        <v>0</v>
      </c>
      <c r="F102" s="195">
        <v>0</v>
      </c>
      <c r="G102" s="195">
        <v>0</v>
      </c>
      <c r="H102" s="195">
        <v>50.2</v>
      </c>
      <c r="I102" s="195">
        <v>163.65</v>
      </c>
      <c r="J102" s="195">
        <v>0</v>
      </c>
      <c r="K102" s="195">
        <v>121</v>
      </c>
      <c r="L102" s="180">
        <v>3264</v>
      </c>
      <c r="M102" s="180">
        <v>1180</v>
      </c>
      <c r="N102" s="180">
        <v>3160</v>
      </c>
      <c r="O102" s="41">
        <v>2896</v>
      </c>
      <c r="P102" s="41">
        <v>0</v>
      </c>
      <c r="Q102" s="41"/>
      <c r="R102" s="163">
        <f t="shared" si="14"/>
        <v>10834.85</v>
      </c>
      <c r="S102" s="145">
        <v>11500.2</v>
      </c>
      <c r="T102" s="155">
        <f t="shared" si="15"/>
        <v>665.3500000000004</v>
      </c>
      <c r="U102" s="42">
        <f t="shared" si="16"/>
        <v>0.9421444844437488</v>
      </c>
    </row>
    <row r="103" spans="1:21" ht="15">
      <c r="A103" s="1"/>
      <c r="B103" s="1"/>
      <c r="C103" s="1"/>
      <c r="D103" s="43" t="s">
        <v>120</v>
      </c>
      <c r="E103" s="195">
        <v>0</v>
      </c>
      <c r="F103" s="195">
        <v>0</v>
      </c>
      <c r="G103" s="195">
        <v>0</v>
      </c>
      <c r="H103" s="195">
        <v>0</v>
      </c>
      <c r="I103" s="195">
        <v>16725.06</v>
      </c>
      <c r="J103" s="195">
        <v>0</v>
      </c>
      <c r="K103" s="195">
        <v>0</v>
      </c>
      <c r="L103" s="180">
        <v>0</v>
      </c>
      <c r="M103" s="180"/>
      <c r="N103" s="180">
        <v>0</v>
      </c>
      <c r="O103" s="41">
        <v>0</v>
      </c>
      <c r="P103" s="180">
        <v>15000</v>
      </c>
      <c r="Q103" s="41"/>
      <c r="R103" s="163">
        <f t="shared" si="14"/>
        <v>31725.06</v>
      </c>
      <c r="S103" s="145">
        <v>15000</v>
      </c>
      <c r="T103" s="155">
        <f t="shared" si="15"/>
        <v>-16725.06</v>
      </c>
      <c r="U103" s="42">
        <f t="shared" si="16"/>
        <v>2.115004</v>
      </c>
    </row>
    <row r="104" spans="1:21" ht="15">
      <c r="A104" s="1"/>
      <c r="B104" s="1"/>
      <c r="C104" s="1"/>
      <c r="D104" s="43" t="s">
        <v>121</v>
      </c>
      <c r="E104" s="195">
        <v>0</v>
      </c>
      <c r="F104" s="195">
        <v>0</v>
      </c>
      <c r="G104" s="195">
        <v>0</v>
      </c>
      <c r="H104" s="195">
        <v>0</v>
      </c>
      <c r="I104" s="195">
        <v>4180</v>
      </c>
      <c r="J104" s="195">
        <v>0</v>
      </c>
      <c r="K104" s="195">
        <v>500</v>
      </c>
      <c r="L104" s="180"/>
      <c r="M104" s="180">
        <v>12000</v>
      </c>
      <c r="N104" s="180"/>
      <c r="O104" s="41">
        <v>0</v>
      </c>
      <c r="P104" s="41">
        <v>6500</v>
      </c>
      <c r="Q104" s="41"/>
      <c r="R104" s="163">
        <f t="shared" si="14"/>
        <v>23180</v>
      </c>
      <c r="S104" s="145">
        <v>21500</v>
      </c>
      <c r="T104" s="155">
        <f t="shared" si="15"/>
        <v>-1680</v>
      </c>
      <c r="U104" s="42">
        <f t="shared" si="16"/>
        <v>1.0781395348837208</v>
      </c>
    </row>
    <row r="105" spans="1:21" ht="15">
      <c r="A105" s="1"/>
      <c r="B105" s="1"/>
      <c r="C105" s="1"/>
      <c r="D105" s="43" t="s">
        <v>122</v>
      </c>
      <c r="E105" s="195">
        <v>0</v>
      </c>
      <c r="F105" s="195">
        <v>1000</v>
      </c>
      <c r="G105" s="195">
        <v>0</v>
      </c>
      <c r="H105" s="195">
        <v>0</v>
      </c>
      <c r="I105" s="195">
        <v>0</v>
      </c>
      <c r="J105" s="195">
        <v>12</v>
      </c>
      <c r="K105" s="195">
        <v>0</v>
      </c>
      <c r="L105" s="180">
        <v>0</v>
      </c>
      <c r="M105" s="180">
        <v>0</v>
      </c>
      <c r="N105" s="180">
        <v>0</v>
      </c>
      <c r="O105" s="41">
        <v>2500</v>
      </c>
      <c r="P105" s="41">
        <v>1000</v>
      </c>
      <c r="Q105" s="41"/>
      <c r="R105" s="163">
        <f t="shared" si="14"/>
        <v>4512</v>
      </c>
      <c r="S105" s="145">
        <v>4500</v>
      </c>
      <c r="T105" s="155">
        <f t="shared" si="15"/>
        <v>-12</v>
      </c>
      <c r="U105" s="42">
        <f t="shared" si="16"/>
        <v>1.0026666666666666</v>
      </c>
    </row>
    <row r="106" spans="1:21" ht="15">
      <c r="A106" s="1"/>
      <c r="B106" s="1"/>
      <c r="C106" s="1"/>
      <c r="D106" s="43" t="s">
        <v>123</v>
      </c>
      <c r="E106" s="195">
        <v>3821.87</v>
      </c>
      <c r="F106" s="195">
        <v>9542.5</v>
      </c>
      <c r="G106" s="195">
        <v>16954.52</v>
      </c>
      <c r="H106" s="195">
        <v>16276.37</v>
      </c>
      <c r="I106" s="195">
        <v>12328.02</v>
      </c>
      <c r="J106" s="195">
        <v>19189.79</v>
      </c>
      <c r="K106" s="195">
        <v>13741</v>
      </c>
      <c r="L106" s="180">
        <v>13542.439999999999</v>
      </c>
      <c r="M106" s="180">
        <v>7220.54</v>
      </c>
      <c r="N106" s="180">
        <v>22151.32</v>
      </c>
      <c r="O106" s="41">
        <v>17365</v>
      </c>
      <c r="P106" s="41">
        <v>17452</v>
      </c>
      <c r="Q106" s="41"/>
      <c r="R106" s="163">
        <f t="shared" si="14"/>
        <v>169585.37</v>
      </c>
      <c r="S106" s="145">
        <v>137034.81999999998</v>
      </c>
      <c r="T106" s="155">
        <f t="shared" si="15"/>
        <v>-32550.550000000017</v>
      </c>
      <c r="U106" s="42">
        <f t="shared" si="16"/>
        <v>1.2375348834697635</v>
      </c>
    </row>
    <row r="107" spans="1:21" ht="15">
      <c r="A107" s="1"/>
      <c r="B107" s="1"/>
      <c r="C107" s="1"/>
      <c r="D107" s="43" t="s">
        <v>124</v>
      </c>
      <c r="E107" s="195">
        <v>952.04</v>
      </c>
      <c r="F107" s="195">
        <v>1117.28</v>
      </c>
      <c r="G107" s="195">
        <v>1815.79</v>
      </c>
      <c r="H107" s="195">
        <v>1535.22</v>
      </c>
      <c r="I107" s="195">
        <v>2438.73</v>
      </c>
      <c r="J107" s="195">
        <v>3478.59</v>
      </c>
      <c r="K107" s="195">
        <v>778</v>
      </c>
      <c r="L107" s="180">
        <v>1520.8733333333332</v>
      </c>
      <c r="M107" s="180">
        <v>11228.333333333334</v>
      </c>
      <c r="N107" s="180">
        <v>5761.623333333333</v>
      </c>
      <c r="O107" s="41">
        <v>3858.3333333333335</v>
      </c>
      <c r="P107" s="41">
        <v>3559.3333333333335</v>
      </c>
      <c r="Q107" s="41"/>
      <c r="R107" s="163">
        <f t="shared" si="14"/>
        <v>38044.14666666667</v>
      </c>
      <c r="S107" s="145">
        <v>37346.22</v>
      </c>
      <c r="T107" s="155">
        <f t="shared" si="15"/>
        <v>-697.9266666666663</v>
      </c>
      <c r="U107" s="42">
        <f t="shared" si="16"/>
        <v>1.0186880135838825</v>
      </c>
    </row>
    <row r="108" spans="1:21" ht="15">
      <c r="A108" s="1"/>
      <c r="B108" s="1"/>
      <c r="C108" s="1"/>
      <c r="D108" s="43" t="s">
        <v>125</v>
      </c>
      <c r="E108" s="195">
        <v>0</v>
      </c>
      <c r="F108" s="195">
        <v>0</v>
      </c>
      <c r="G108" s="195">
        <v>0</v>
      </c>
      <c r="H108" s="195">
        <v>0</v>
      </c>
      <c r="I108" s="195"/>
      <c r="J108" s="195">
        <v>0</v>
      </c>
      <c r="K108" s="195">
        <v>0</v>
      </c>
      <c r="L108" s="180">
        <v>2800</v>
      </c>
      <c r="M108" s="180">
        <v>3000</v>
      </c>
      <c r="N108" s="180">
        <v>200</v>
      </c>
      <c r="O108" s="41">
        <v>0</v>
      </c>
      <c r="P108" s="41">
        <v>0</v>
      </c>
      <c r="Q108" s="41"/>
      <c r="R108" s="163">
        <f t="shared" si="14"/>
        <v>6000</v>
      </c>
      <c r="S108" s="145">
        <v>6000</v>
      </c>
      <c r="T108" s="155">
        <f t="shared" si="15"/>
        <v>0</v>
      </c>
      <c r="U108" s="42">
        <f t="shared" si="16"/>
        <v>1</v>
      </c>
    </row>
    <row r="109" spans="1:21" ht="15">
      <c r="A109" s="1"/>
      <c r="B109" s="1"/>
      <c r="C109" s="1"/>
      <c r="D109" s="43" t="s">
        <v>126</v>
      </c>
      <c r="E109" s="195">
        <v>475.53</v>
      </c>
      <c r="F109" s="195">
        <v>7155.21</v>
      </c>
      <c r="G109" s="195">
        <v>7730.1</v>
      </c>
      <c r="H109" s="195">
        <v>0</v>
      </c>
      <c r="I109" s="195">
        <v>50114.31</v>
      </c>
      <c r="J109" s="195">
        <v>-965.22</v>
      </c>
      <c r="K109" s="195">
        <v>24789</v>
      </c>
      <c r="L109" s="180">
        <v>3692.08</v>
      </c>
      <c r="M109" s="180">
        <v>87454</v>
      </c>
      <c r="N109" s="180">
        <v>85241.71000000002</v>
      </c>
      <c r="O109" s="41">
        <v>35424.62</v>
      </c>
      <c r="P109" s="41">
        <f>10250+27873+50000</f>
        <v>88123</v>
      </c>
      <c r="Q109" s="41"/>
      <c r="R109" s="163">
        <f t="shared" si="14"/>
        <v>389234.34</v>
      </c>
      <c r="S109" s="145">
        <v>304524.65</v>
      </c>
      <c r="T109" s="155">
        <f t="shared" si="15"/>
        <v>-84709.69</v>
      </c>
      <c r="U109" s="42">
        <f t="shared" si="16"/>
        <v>1.2781702236584132</v>
      </c>
    </row>
    <row r="110" spans="1:21" ht="15">
      <c r="A110" s="1"/>
      <c r="B110" s="1"/>
      <c r="C110" s="1"/>
      <c r="D110" s="43" t="s">
        <v>127</v>
      </c>
      <c r="E110" s="195">
        <v>51.82</v>
      </c>
      <c r="F110" s="195">
        <v>6308.84</v>
      </c>
      <c r="G110" s="195">
        <v>15807.79</v>
      </c>
      <c r="H110" s="195">
        <v>4935.45</v>
      </c>
      <c r="I110" s="195">
        <v>8570.76</v>
      </c>
      <c r="J110" s="195">
        <v>11169.02</v>
      </c>
      <c r="K110" s="195">
        <v>3602</v>
      </c>
      <c r="L110" s="180">
        <v>6312.673333333332</v>
      </c>
      <c r="M110" s="180">
        <v>100486.42333333332</v>
      </c>
      <c r="N110" s="180">
        <v>25033.333333333332</v>
      </c>
      <c r="O110" s="41">
        <v>8468.333333333332</v>
      </c>
      <c r="P110" s="41">
        <v>7819.333333333333</v>
      </c>
      <c r="Q110" s="41"/>
      <c r="R110" s="163">
        <f t="shared" si="14"/>
        <v>198565.7766666667</v>
      </c>
      <c r="S110" s="145">
        <v>184352.7</v>
      </c>
      <c r="T110" s="155">
        <f t="shared" si="15"/>
        <v>-14213.07666666669</v>
      </c>
      <c r="U110" s="42">
        <f t="shared" si="16"/>
        <v>1.077097198287124</v>
      </c>
    </row>
    <row r="111" spans="1:21" ht="15">
      <c r="A111" s="1"/>
      <c r="B111" s="1"/>
      <c r="C111" s="1"/>
      <c r="D111" s="43" t="s">
        <v>128</v>
      </c>
      <c r="E111" s="195">
        <v>0</v>
      </c>
      <c r="F111" s="195">
        <v>1600</v>
      </c>
      <c r="G111" s="195">
        <v>11600</v>
      </c>
      <c r="H111" s="195">
        <v>3200</v>
      </c>
      <c r="I111" s="195">
        <v>0</v>
      </c>
      <c r="J111" s="195">
        <v>1600</v>
      </c>
      <c r="K111" s="195">
        <v>1600</v>
      </c>
      <c r="L111" s="180">
        <v>1600</v>
      </c>
      <c r="M111" s="180">
        <v>1600</v>
      </c>
      <c r="N111" s="180">
        <f>11600-10000</f>
        <v>1600</v>
      </c>
      <c r="O111" s="41">
        <v>1600</v>
      </c>
      <c r="P111" s="41">
        <f>1900+1600</f>
        <v>3500</v>
      </c>
      <c r="Q111" s="41"/>
      <c r="R111" s="163">
        <f t="shared" si="14"/>
        <v>29500</v>
      </c>
      <c r="S111" s="145">
        <v>29500</v>
      </c>
      <c r="T111" s="155">
        <f t="shared" si="15"/>
        <v>0</v>
      </c>
      <c r="U111" s="42">
        <f t="shared" si="16"/>
        <v>1</v>
      </c>
    </row>
    <row r="112" spans="1:21" ht="15">
      <c r="A112" s="1"/>
      <c r="B112" s="1"/>
      <c r="C112" s="1"/>
      <c r="D112" s="43" t="s">
        <v>129</v>
      </c>
      <c r="E112" s="195">
        <v>0</v>
      </c>
      <c r="F112" s="195">
        <v>3445.76</v>
      </c>
      <c r="G112" s="195">
        <v>9333.33</v>
      </c>
      <c r="H112" s="195">
        <v>24333.33</v>
      </c>
      <c r="I112" s="195">
        <v>9333.33</v>
      </c>
      <c r="J112" s="195">
        <v>2000</v>
      </c>
      <c r="K112" s="195">
        <v>18667</v>
      </c>
      <c r="L112" s="180">
        <v>9333.33</v>
      </c>
      <c r="M112" s="180">
        <v>9333.33</v>
      </c>
      <c r="N112" s="180">
        <v>9333.33</v>
      </c>
      <c r="O112" s="41">
        <v>9333.33</v>
      </c>
      <c r="P112" s="41">
        <f>9333.33+2181</f>
        <v>11514.33</v>
      </c>
      <c r="Q112" s="41"/>
      <c r="R112" s="163">
        <f t="shared" si="14"/>
        <v>115960.40000000001</v>
      </c>
      <c r="S112" s="145">
        <v>115960.30000000002</v>
      </c>
      <c r="T112" s="155">
        <f t="shared" si="15"/>
        <v>-0.09999999999126885</v>
      </c>
      <c r="U112" s="42">
        <f t="shared" si="16"/>
        <v>1.0000008623641021</v>
      </c>
    </row>
    <row r="113" spans="1:21" ht="15">
      <c r="A113" s="1"/>
      <c r="B113" s="1"/>
      <c r="C113" s="1"/>
      <c r="D113" s="43" t="s">
        <v>130</v>
      </c>
      <c r="E113" s="195">
        <v>957.94</v>
      </c>
      <c r="F113" s="195">
        <v>556.21</v>
      </c>
      <c r="G113" s="195">
        <v>545.86</v>
      </c>
      <c r="H113" s="195">
        <v>922.12</v>
      </c>
      <c r="I113" s="195">
        <v>1475.06</v>
      </c>
      <c r="J113" s="195">
        <v>1127.37</v>
      </c>
      <c r="K113" s="195">
        <v>1249</v>
      </c>
      <c r="L113" s="180">
        <v>931.07</v>
      </c>
      <c r="M113" s="180">
        <v>1761.36</v>
      </c>
      <c r="N113" s="180">
        <v>1080</v>
      </c>
      <c r="O113" s="41">
        <v>400</v>
      </c>
      <c r="P113" s="41">
        <v>400</v>
      </c>
      <c r="Q113" s="41"/>
      <c r="R113" s="163">
        <f t="shared" si="14"/>
        <v>11405.99</v>
      </c>
      <c r="S113" s="145">
        <v>11000.9</v>
      </c>
      <c r="T113" s="155">
        <f t="shared" si="15"/>
        <v>-405.09000000000015</v>
      </c>
      <c r="U113" s="42">
        <f t="shared" si="16"/>
        <v>1.0368233508167515</v>
      </c>
    </row>
    <row r="114" spans="1:21" ht="15">
      <c r="A114" s="1"/>
      <c r="B114" s="1"/>
      <c r="C114" s="1"/>
      <c r="D114" s="43" t="s">
        <v>131</v>
      </c>
      <c r="E114" s="195">
        <v>1258.94</v>
      </c>
      <c r="F114" s="195">
        <v>1211.48</v>
      </c>
      <c r="G114" s="195">
        <v>176.5</v>
      </c>
      <c r="H114" s="195">
        <v>966.21</v>
      </c>
      <c r="I114" s="195">
        <v>1407.96</v>
      </c>
      <c r="J114" s="195">
        <v>5532.95</v>
      </c>
      <c r="K114" s="195">
        <v>5118</v>
      </c>
      <c r="L114" s="180">
        <v>2100</v>
      </c>
      <c r="M114" s="180">
        <v>4137.17</v>
      </c>
      <c r="N114" s="180">
        <v>3208.45</v>
      </c>
      <c r="O114" s="41">
        <v>2600</v>
      </c>
      <c r="P114" s="41">
        <v>2000</v>
      </c>
      <c r="Q114" s="41"/>
      <c r="R114" s="163">
        <f t="shared" si="14"/>
        <v>29717.66</v>
      </c>
      <c r="S114" s="145">
        <v>28699.749999999996</v>
      </c>
      <c r="T114" s="155">
        <f t="shared" si="15"/>
        <v>-1017.9100000000035</v>
      </c>
      <c r="U114" s="42">
        <f t="shared" si="16"/>
        <v>1.0354675563375988</v>
      </c>
    </row>
    <row r="115" spans="1:21" ht="15">
      <c r="A115" s="1"/>
      <c r="B115" s="1"/>
      <c r="C115" s="1"/>
      <c r="D115" s="43" t="s">
        <v>132</v>
      </c>
      <c r="E115" s="195">
        <v>500.17</v>
      </c>
      <c r="F115" s="195">
        <v>41994.86</v>
      </c>
      <c r="G115" s="195">
        <v>1839.4</v>
      </c>
      <c r="H115" s="195">
        <v>11177.68</v>
      </c>
      <c r="I115" s="195">
        <v>14918.16</v>
      </c>
      <c r="J115" s="195">
        <v>8399.08</v>
      </c>
      <c r="K115" s="195">
        <v>4388</v>
      </c>
      <c r="L115" s="180">
        <v>31562</v>
      </c>
      <c r="M115" s="180">
        <v>30262</v>
      </c>
      <c r="N115" s="180">
        <v>25401.999999999996</v>
      </c>
      <c r="O115" s="41">
        <v>96823.33333333333</v>
      </c>
      <c r="P115" s="41">
        <f>12433.3333333333+7930</f>
        <v>20363.3333333333</v>
      </c>
      <c r="Q115" s="41"/>
      <c r="R115" s="163">
        <f t="shared" si="14"/>
        <v>287630.01666666666</v>
      </c>
      <c r="S115" s="145">
        <v>304860.8966666666</v>
      </c>
      <c r="T115" s="155">
        <f t="shared" si="15"/>
        <v>17230.879999999946</v>
      </c>
      <c r="U115" s="42">
        <f t="shared" si="16"/>
        <v>0.9434795338188613</v>
      </c>
    </row>
    <row r="116" spans="1:21" ht="15">
      <c r="A116" s="1"/>
      <c r="B116" s="1"/>
      <c r="C116" s="1"/>
      <c r="D116" s="43" t="s">
        <v>133</v>
      </c>
      <c r="E116" s="195">
        <v>0</v>
      </c>
      <c r="F116" s="195">
        <v>12100</v>
      </c>
      <c r="G116" s="195">
        <v>5900</v>
      </c>
      <c r="H116" s="195">
        <v>40450</v>
      </c>
      <c r="I116" s="195">
        <v>30750</v>
      </c>
      <c r="J116" s="195">
        <v>34650</v>
      </c>
      <c r="K116" s="195">
        <v>11850</v>
      </c>
      <c r="L116" s="180">
        <v>40350</v>
      </c>
      <c r="M116" s="180">
        <v>51148</v>
      </c>
      <c r="N116" s="180">
        <v>42152</v>
      </c>
      <c r="O116" s="41">
        <f>28272.5+15000</f>
        <v>43272.5</v>
      </c>
      <c r="P116" s="41">
        <f>19673.5+7700+15000</f>
        <v>42373.5</v>
      </c>
      <c r="Q116" s="41"/>
      <c r="R116" s="163">
        <f t="shared" si="14"/>
        <v>354996</v>
      </c>
      <c r="S116" s="145">
        <v>312346</v>
      </c>
      <c r="T116" s="155">
        <f t="shared" si="15"/>
        <v>-42650</v>
      </c>
      <c r="U116" s="42">
        <f t="shared" si="16"/>
        <v>1.1365472905047607</v>
      </c>
    </row>
    <row r="117" spans="1:21" ht="15">
      <c r="A117" s="1"/>
      <c r="B117" s="1"/>
      <c r="C117" s="1"/>
      <c r="D117" s="43" t="s">
        <v>134</v>
      </c>
      <c r="E117" s="195">
        <v>0</v>
      </c>
      <c r="F117" s="195">
        <v>986.57</v>
      </c>
      <c r="G117" s="195">
        <v>1064.67</v>
      </c>
      <c r="H117" s="195">
        <v>501.6</v>
      </c>
      <c r="I117" s="195">
        <v>341.77</v>
      </c>
      <c r="J117" s="195">
        <v>6388.04</v>
      </c>
      <c r="K117" s="195">
        <v>332</v>
      </c>
      <c r="L117" s="180">
        <v>986.2133333333334</v>
      </c>
      <c r="M117" s="180">
        <v>1033.3333333333335</v>
      </c>
      <c r="N117" s="180">
        <v>1620.7533333333333</v>
      </c>
      <c r="O117" s="41">
        <v>1695.3333333333335</v>
      </c>
      <c r="P117" s="41">
        <f>1233.33333333333+1514</f>
        <v>2747.3333333333303</v>
      </c>
      <c r="Q117" s="41"/>
      <c r="R117" s="163">
        <f aca="true" t="shared" si="18" ref="R117:R122">SUM(E117:P117)</f>
        <v>17697.616666666665</v>
      </c>
      <c r="S117" s="145">
        <v>14410.070000000003</v>
      </c>
      <c r="T117" s="155">
        <f t="shared" si="15"/>
        <v>-3287.5466666666616</v>
      </c>
      <c r="U117" s="42">
        <f t="shared" si="16"/>
        <v>1.228142310666545</v>
      </c>
    </row>
    <row r="118" spans="1:21" ht="15">
      <c r="A118" s="1"/>
      <c r="B118" s="1"/>
      <c r="C118" s="1"/>
      <c r="D118" s="43" t="s">
        <v>194</v>
      </c>
      <c r="E118" s="195">
        <v>0</v>
      </c>
      <c r="F118" s="195">
        <v>0</v>
      </c>
      <c r="G118" s="195">
        <v>1105</v>
      </c>
      <c r="H118" s="195">
        <v>299</v>
      </c>
      <c r="I118" s="195"/>
      <c r="J118" s="195">
        <v>250</v>
      </c>
      <c r="K118" s="195"/>
      <c r="L118" s="180">
        <v>2000</v>
      </c>
      <c r="M118" s="180">
        <v>0</v>
      </c>
      <c r="N118" s="180">
        <v>0</v>
      </c>
      <c r="O118" s="41">
        <v>4750</v>
      </c>
      <c r="P118" s="41">
        <v>125</v>
      </c>
      <c r="Q118" s="41"/>
      <c r="R118" s="163">
        <f t="shared" si="18"/>
        <v>8529</v>
      </c>
      <c r="S118" s="145">
        <v>8100</v>
      </c>
      <c r="T118" s="155">
        <f t="shared" si="15"/>
        <v>-429</v>
      </c>
      <c r="U118" s="42">
        <f aca="true" t="shared" si="19" ref="U118:U122">+R118/S118</f>
        <v>1.0529629629629629</v>
      </c>
    </row>
    <row r="119" spans="1:21" ht="15">
      <c r="A119" s="1"/>
      <c r="B119" s="1"/>
      <c r="C119" s="1"/>
      <c r="D119" s="43" t="s">
        <v>136</v>
      </c>
      <c r="E119" s="195">
        <v>317.47</v>
      </c>
      <c r="F119" s="195">
        <v>293.96</v>
      </c>
      <c r="G119" s="195">
        <v>270.3</v>
      </c>
      <c r="H119" s="195">
        <v>246.5</v>
      </c>
      <c r="I119" s="195">
        <v>222.55</v>
      </c>
      <c r="J119" s="195">
        <v>198.45</v>
      </c>
      <c r="K119" s="195">
        <v>174</v>
      </c>
      <c r="L119" s="180">
        <v>224</v>
      </c>
      <c r="M119" s="180">
        <v>204</v>
      </c>
      <c r="N119" s="180">
        <v>184</v>
      </c>
      <c r="O119" s="41">
        <v>164</v>
      </c>
      <c r="P119" s="41">
        <v>144</v>
      </c>
      <c r="Q119" s="41"/>
      <c r="R119" s="163">
        <f t="shared" si="18"/>
        <v>2643.23</v>
      </c>
      <c r="S119" s="145">
        <v>3048</v>
      </c>
      <c r="T119" s="155">
        <f aca="true" t="shared" si="20" ref="T119:T123">+S119-R119</f>
        <v>404.77</v>
      </c>
      <c r="U119" s="42">
        <f t="shared" si="19"/>
        <v>0.8672014435695539</v>
      </c>
    </row>
    <row r="120" spans="1:21" ht="15" hidden="1">
      <c r="A120" s="1"/>
      <c r="B120" s="1"/>
      <c r="C120" s="1"/>
      <c r="D120" s="43" t="s">
        <v>137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80">
        <v>0</v>
      </c>
      <c r="M120" s="180">
        <v>0</v>
      </c>
      <c r="N120" s="180">
        <v>0</v>
      </c>
      <c r="O120" s="41">
        <v>0</v>
      </c>
      <c r="P120" s="41">
        <v>0</v>
      </c>
      <c r="Q120" s="41"/>
      <c r="R120" s="163">
        <f t="shared" si="18"/>
        <v>0</v>
      </c>
      <c r="S120" s="145">
        <v>0</v>
      </c>
      <c r="T120" s="155">
        <f t="shared" si="20"/>
        <v>0</v>
      </c>
      <c r="U120" s="42"/>
    </row>
    <row r="121" spans="1:21" ht="15" hidden="1">
      <c r="A121" s="1"/>
      <c r="B121" s="1"/>
      <c r="C121" s="1"/>
      <c r="D121" s="43" t="s">
        <v>138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80">
        <v>0</v>
      </c>
      <c r="M121" s="180">
        <v>0</v>
      </c>
      <c r="N121" s="180">
        <v>0</v>
      </c>
      <c r="O121" s="41">
        <v>0</v>
      </c>
      <c r="P121" s="41">
        <v>0</v>
      </c>
      <c r="Q121" s="41"/>
      <c r="R121" s="163">
        <f t="shared" si="18"/>
        <v>0</v>
      </c>
      <c r="S121" s="145">
        <v>0</v>
      </c>
      <c r="T121" s="155">
        <f t="shared" si="20"/>
        <v>0</v>
      </c>
      <c r="U121" s="42"/>
    </row>
    <row r="122" spans="1:21" s="86" customFormat="1" ht="15">
      <c r="A122" s="1"/>
      <c r="B122" s="1"/>
      <c r="C122" s="1"/>
      <c r="D122" s="43" t="s">
        <v>139</v>
      </c>
      <c r="E122" s="195">
        <v>0</v>
      </c>
      <c r="F122" s="195">
        <v>0</v>
      </c>
      <c r="G122" s="195">
        <v>0</v>
      </c>
      <c r="H122" s="195">
        <v>0</v>
      </c>
      <c r="I122" s="195"/>
      <c r="J122" s="195">
        <v>0</v>
      </c>
      <c r="K122" s="195">
        <v>0</v>
      </c>
      <c r="L122" s="180">
        <v>100</v>
      </c>
      <c r="M122" s="180">
        <v>100</v>
      </c>
      <c r="N122" s="180">
        <v>250</v>
      </c>
      <c r="O122" s="41">
        <v>366.6666666666667</v>
      </c>
      <c r="P122" s="41">
        <v>716.6666666666667</v>
      </c>
      <c r="Q122" s="41"/>
      <c r="R122" s="163">
        <f t="shared" si="18"/>
        <v>1533.3333333333335</v>
      </c>
      <c r="S122" s="145">
        <v>1833.3333333333335</v>
      </c>
      <c r="T122" s="155">
        <f t="shared" si="20"/>
        <v>300</v>
      </c>
      <c r="U122" s="42">
        <f t="shared" si="19"/>
        <v>0.8363636363636364</v>
      </c>
    </row>
    <row r="123" spans="1:21" ht="15.75" thickBot="1">
      <c r="A123" s="1"/>
      <c r="B123" s="1"/>
      <c r="C123" s="1"/>
      <c r="D123" s="43" t="s">
        <v>140</v>
      </c>
      <c r="E123" s="195">
        <f>+'[1]Sum by Mo'!E116</f>
        <v>0</v>
      </c>
      <c r="F123" s="195">
        <f>+'[1]Sum by Mo'!F116</f>
        <v>0</v>
      </c>
      <c r="G123" s="195">
        <f>+'[1]Sum by Mo'!G116</f>
        <v>0</v>
      </c>
      <c r="H123" s="195">
        <f>+'[1]Sum by Mo'!H116</f>
        <v>0</v>
      </c>
      <c r="I123" s="195">
        <f>+'[1]Sum by Mo'!I116</f>
        <v>0</v>
      </c>
      <c r="J123" s="195">
        <f>+'[1]Sum by Mo'!J116</f>
        <v>0</v>
      </c>
      <c r="K123" s="195">
        <f>+'[1]Sum by Mo'!K116</f>
        <v>0</v>
      </c>
      <c r="L123" s="180">
        <f>+'[1]Sum by Mo'!L116</f>
        <v>0</v>
      </c>
      <c r="M123" s="180">
        <f>+'[1]Sum by Mo'!M116</f>
        <v>0</v>
      </c>
      <c r="N123" s="180">
        <f>+'[1]Sum by Mo'!N116</f>
        <v>0</v>
      </c>
      <c r="O123" s="41">
        <f>+'[1]Sum by Mo'!O116</f>
        <v>0</v>
      </c>
      <c r="P123" s="41">
        <f>+'[1]Sum by Mo'!P116</f>
        <v>0</v>
      </c>
      <c r="Q123" s="41"/>
      <c r="R123" s="163">
        <f aca="true" t="shared" si="21" ref="R123">SUM(E123:P123)</f>
        <v>0</v>
      </c>
      <c r="S123" s="145">
        <f>+'[1]Sum by Mo'!S116</f>
        <v>0</v>
      </c>
      <c r="T123" s="155">
        <f t="shared" si="20"/>
        <v>0</v>
      </c>
      <c r="U123" s="42">
        <f aca="true" t="shared" si="22" ref="U123">ROUND(IF(R123=0,IF(S123=0,0,1),S123/R123),5)</f>
        <v>0</v>
      </c>
    </row>
    <row r="124" spans="1:21" ht="15">
      <c r="A124" s="1"/>
      <c r="B124" s="1"/>
      <c r="C124" s="1" t="s">
        <v>141</v>
      </c>
      <c r="D124" s="52"/>
      <c r="E124" s="200">
        <f aca="true" t="shared" si="23" ref="E124:P124">ROUND(SUM(E51:E123),5)</f>
        <v>169247.76</v>
      </c>
      <c r="F124" s="200">
        <f t="shared" si="23"/>
        <v>285929.58</v>
      </c>
      <c r="G124" s="200">
        <f t="shared" si="23"/>
        <v>253799</v>
      </c>
      <c r="H124" s="200">
        <f t="shared" si="23"/>
        <v>313976.76</v>
      </c>
      <c r="I124" s="200">
        <f t="shared" si="23"/>
        <v>344524.37</v>
      </c>
      <c r="J124" s="200">
        <f t="shared" si="23"/>
        <v>271956.85</v>
      </c>
      <c r="K124" s="200">
        <f t="shared" si="23"/>
        <v>277243.7</v>
      </c>
      <c r="L124" s="185">
        <f t="shared" si="23"/>
        <v>320911.57487</v>
      </c>
      <c r="M124" s="185">
        <f t="shared" si="23"/>
        <v>567072.53487</v>
      </c>
      <c r="N124" s="185">
        <f t="shared" si="23"/>
        <v>566491.6582</v>
      </c>
      <c r="O124" s="52">
        <f t="shared" si="23"/>
        <v>492152.84487</v>
      </c>
      <c r="P124" s="52">
        <f t="shared" si="23"/>
        <v>492808.6162</v>
      </c>
      <c r="Q124" s="52"/>
      <c r="R124" s="168">
        <f>ROUND(SUM(R51:R123),5)</f>
        <v>4356115.24902</v>
      </c>
      <c r="S124" s="150">
        <f>ROUND(SUM(S51:S123),5)</f>
        <v>4257713.12477</v>
      </c>
      <c r="T124" s="160">
        <f>+S124-R124</f>
        <v>-98402.12425000034</v>
      </c>
      <c r="U124" s="53">
        <f>ROUND(IF(R124=0,IF(S124=0,0,1),S124/R124),5)</f>
        <v>0.97741</v>
      </c>
    </row>
    <row r="125" spans="1:21" ht="15">
      <c r="A125" s="16"/>
      <c r="B125" s="1" t="s">
        <v>213</v>
      </c>
      <c r="C125" s="1"/>
      <c r="D125" s="141"/>
      <c r="E125" s="201">
        <f aca="true" t="shared" si="24" ref="E125:P125">ROUND(E50-E124,5)</f>
        <v>-71002.63</v>
      </c>
      <c r="F125" s="201">
        <f t="shared" si="24"/>
        <v>-194577.44</v>
      </c>
      <c r="G125" s="201">
        <f t="shared" si="24"/>
        <v>-151907.79</v>
      </c>
      <c r="H125" s="201">
        <f t="shared" si="24"/>
        <v>-99239.72</v>
      </c>
      <c r="I125" s="201">
        <f t="shared" si="24"/>
        <v>-62309.41</v>
      </c>
      <c r="J125" s="201">
        <f t="shared" si="24"/>
        <v>259027.34</v>
      </c>
      <c r="K125" s="201">
        <f t="shared" si="24"/>
        <v>228415.3</v>
      </c>
      <c r="L125" s="186">
        <f t="shared" si="24"/>
        <v>484577.68606</v>
      </c>
      <c r="M125" s="186">
        <f t="shared" si="24"/>
        <v>262460.71806</v>
      </c>
      <c r="N125" s="186">
        <f t="shared" si="24"/>
        <v>-352156.10727</v>
      </c>
      <c r="O125" s="141">
        <f t="shared" si="24"/>
        <v>-65723.50409</v>
      </c>
      <c r="P125" s="141">
        <f t="shared" si="24"/>
        <v>-190206.81858</v>
      </c>
      <c r="Q125" s="141"/>
      <c r="R125" s="169">
        <f>ROUND(R50-R124,5)</f>
        <v>47357.62417</v>
      </c>
      <c r="S125" s="170">
        <f>ROUND(S50-S124,5)</f>
        <v>0.32493</v>
      </c>
      <c r="T125" s="171">
        <f>+R125-S125</f>
        <v>47357.29924</v>
      </c>
      <c r="U125" s="172"/>
    </row>
    <row r="126" spans="1:33" s="86" customFormat="1" ht="15.75" thickBot="1">
      <c r="A126" s="98"/>
      <c r="B126" s="98"/>
      <c r="C126" s="174"/>
      <c r="D126" s="175"/>
      <c r="E126" s="202"/>
      <c r="F126" s="202"/>
      <c r="G126" s="202"/>
      <c r="H126" s="202"/>
      <c r="I126" s="202"/>
      <c r="J126" s="202"/>
      <c r="K126" s="202"/>
      <c r="L126" s="187"/>
      <c r="M126" s="187"/>
      <c r="N126" s="187"/>
      <c r="O126" s="175"/>
      <c r="P126" s="175"/>
      <c r="Q126" s="175"/>
      <c r="R126" s="175"/>
      <c r="S126" s="176"/>
      <c r="T126" s="177"/>
      <c r="U126" s="176"/>
      <c r="AC126" t="s">
        <v>275</v>
      </c>
      <c r="AD126"/>
      <c r="AE126"/>
      <c r="AF126"/>
      <c r="AG126">
        <v>-91593.96999999974</v>
      </c>
    </row>
    <row r="127" spans="1:33" s="86" customFormat="1" ht="15.75" thickTop="1">
      <c r="A127" s="1"/>
      <c r="B127" s="1" t="s">
        <v>213</v>
      </c>
      <c r="C127" s="40"/>
      <c r="D127" s="41"/>
      <c r="E127" s="195">
        <f>+E125</f>
        <v>-71002.63</v>
      </c>
      <c r="F127" s="195">
        <f aca="true" t="shared" si="25" ref="F127:K127">+F125</f>
        <v>-194577.44</v>
      </c>
      <c r="G127" s="195">
        <f t="shared" si="25"/>
        <v>-151907.79</v>
      </c>
      <c r="H127" s="195">
        <f t="shared" si="25"/>
        <v>-99239.72</v>
      </c>
      <c r="I127" s="195">
        <f t="shared" si="25"/>
        <v>-62309.41</v>
      </c>
      <c r="J127" s="195">
        <f t="shared" si="25"/>
        <v>259027.34</v>
      </c>
      <c r="K127" s="195">
        <f t="shared" si="25"/>
        <v>228415.3</v>
      </c>
      <c r="L127" s="180">
        <f>+L125</f>
        <v>484577.68606</v>
      </c>
      <c r="M127" s="180">
        <f aca="true" t="shared" si="26" ref="M127:P127">+M125</f>
        <v>262460.71806</v>
      </c>
      <c r="N127" s="180">
        <f t="shared" si="26"/>
        <v>-352156.10727</v>
      </c>
      <c r="O127" s="41">
        <f t="shared" si="26"/>
        <v>-65723.50409</v>
      </c>
      <c r="P127" s="41">
        <f t="shared" si="26"/>
        <v>-190206.81858</v>
      </c>
      <c r="Q127" s="41"/>
      <c r="R127" s="41"/>
      <c r="S127" s="208"/>
      <c r="T127" s="208"/>
      <c r="U127" s="208"/>
      <c r="AC127" t="s">
        <v>276</v>
      </c>
      <c r="AD127"/>
      <c r="AE127"/>
      <c r="AF127"/>
      <c r="AG127"/>
    </row>
    <row r="128" spans="1:21" ht="15">
      <c r="A128" s="1"/>
      <c r="B128" s="1" t="s">
        <v>197</v>
      </c>
      <c r="C128" s="43"/>
      <c r="D128" s="41"/>
      <c r="E128" s="195"/>
      <c r="F128" s="195"/>
      <c r="G128" s="195"/>
      <c r="H128" s="195"/>
      <c r="I128" s="195"/>
      <c r="J128" s="195"/>
      <c r="K128" s="195"/>
      <c r="L128" s="180"/>
      <c r="M128" s="180"/>
      <c r="N128" s="180"/>
      <c r="O128" s="41"/>
      <c r="P128" s="44"/>
      <c r="Q128" s="44"/>
      <c r="R128" s="44"/>
      <c r="S128" s="208"/>
      <c r="T128" s="208"/>
      <c r="U128" s="208"/>
    </row>
    <row r="129" spans="1:23" ht="15">
      <c r="A129" s="1"/>
      <c r="B129" s="1"/>
      <c r="C129" s="43" t="s">
        <v>198</v>
      </c>
      <c r="D129" s="41"/>
      <c r="E129" s="195">
        <f aca="true" t="shared" si="27" ref="E129:P129">+E98</f>
        <v>3216.78</v>
      </c>
      <c r="F129" s="195">
        <f t="shared" si="27"/>
        <v>3216.79</v>
      </c>
      <c r="G129" s="195">
        <f t="shared" si="27"/>
        <v>3216.78</v>
      </c>
      <c r="H129" s="195">
        <f t="shared" si="27"/>
        <v>3216.78</v>
      </c>
      <c r="I129" s="195">
        <f t="shared" si="27"/>
        <v>3216.79</v>
      </c>
      <c r="J129" s="195">
        <f t="shared" si="27"/>
        <v>3216.79</v>
      </c>
      <c r="K129" s="195">
        <v>3216.7699999999786</v>
      </c>
      <c r="L129" s="180">
        <f t="shared" si="27"/>
        <v>3140</v>
      </c>
      <c r="M129" s="180">
        <f t="shared" si="27"/>
        <v>3140</v>
      </c>
      <c r="N129" s="180">
        <f t="shared" si="27"/>
        <v>3140</v>
      </c>
      <c r="O129" s="180">
        <f t="shared" si="27"/>
        <v>3140</v>
      </c>
      <c r="P129" s="180">
        <f t="shared" si="27"/>
        <v>3140</v>
      </c>
      <c r="Q129" s="44"/>
      <c r="R129" s="44">
        <f>SUM(E129:Q129)</f>
        <v>38217.47999999998</v>
      </c>
      <c r="S129" s="209"/>
      <c r="T129" s="209"/>
      <c r="U129" s="208"/>
      <c r="V129" s="151"/>
      <c r="W129" s="151"/>
    </row>
    <row r="130" spans="1:22" ht="15">
      <c r="A130" s="1"/>
      <c r="B130" s="1"/>
      <c r="C130" s="43" t="s">
        <v>216</v>
      </c>
      <c r="D130" s="41"/>
      <c r="E130" s="195">
        <v>0</v>
      </c>
      <c r="F130" s="195"/>
      <c r="G130" s="195"/>
      <c r="H130" s="195"/>
      <c r="I130" s="195"/>
      <c r="J130" s="195"/>
      <c r="K130" s="195"/>
      <c r="L130" s="180"/>
      <c r="M130" s="180"/>
      <c r="N130" s="180"/>
      <c r="O130" s="41"/>
      <c r="P130" s="44"/>
      <c r="Q130" s="44"/>
      <c r="R130" s="44">
        <f aca="true" t="shared" si="28" ref="R130:R137">SUM(E130:Q130)</f>
        <v>0</v>
      </c>
      <c r="S130" s="209"/>
      <c r="T130" s="209"/>
      <c r="U130" s="208"/>
      <c r="V130" s="151"/>
    </row>
    <row r="131" spans="1:22" ht="15">
      <c r="A131" s="1"/>
      <c r="B131" s="1"/>
      <c r="C131" s="43" t="s">
        <v>199</v>
      </c>
      <c r="D131" s="41"/>
      <c r="E131" s="195">
        <v>0</v>
      </c>
      <c r="F131" s="195"/>
      <c r="G131" s="195"/>
      <c r="H131" s="195"/>
      <c r="I131" s="195"/>
      <c r="J131" s="195"/>
      <c r="K131" s="195"/>
      <c r="L131" s="180"/>
      <c r="M131" s="180"/>
      <c r="N131" s="180"/>
      <c r="O131" s="41"/>
      <c r="P131" s="44"/>
      <c r="Q131" s="44"/>
      <c r="R131" s="44">
        <f t="shared" si="28"/>
        <v>0</v>
      </c>
      <c r="S131" s="209"/>
      <c r="T131" s="209"/>
      <c r="U131" s="208"/>
      <c r="V131" s="151"/>
    </row>
    <row r="132" spans="1:23" ht="15">
      <c r="A132" s="1"/>
      <c r="B132" s="1"/>
      <c r="C132" s="43"/>
      <c r="D132" s="41" t="s">
        <v>200</v>
      </c>
      <c r="E132" s="195">
        <f>+Sheet1!F6+Sheet1!F7+Sheet1!F9+Sheet1!F10</f>
        <v>194622.38</v>
      </c>
      <c r="F132" s="195">
        <f>+Sheet1!G6+Sheet1!G7+Sheet1!G9+Sheet1!G10</f>
        <v>62937.7</v>
      </c>
      <c r="G132" s="195">
        <f>+Sheet1!H6+Sheet1!H7+Sheet1!H9+Sheet1!H10</f>
        <v>21212.43</v>
      </c>
      <c r="H132" s="195">
        <f>+Sheet1!I6+Sheet1!I7+Sheet1!I9+Sheet1!I10</f>
        <v>-27262.6</v>
      </c>
      <c r="I132" s="195">
        <f>+Sheet1!J6+Sheet1!J7+Sheet1!J9+Sheet1!J10</f>
        <v>-2162.0600000000013</v>
      </c>
      <c r="J132" s="195">
        <f>+Sheet1!K6+Sheet1!K7+Sheet1!K9+Sheet1!K10</f>
        <v>-174104.08000000002</v>
      </c>
      <c r="K132" s="195">
        <v>-36442.00000000003</v>
      </c>
      <c r="L132" s="180"/>
      <c r="M132" s="180"/>
      <c r="N132" s="180"/>
      <c r="O132" s="41"/>
      <c r="P132" s="44"/>
      <c r="Q132" s="44"/>
      <c r="R132" s="44">
        <f t="shared" si="28"/>
        <v>38801.76999999996</v>
      </c>
      <c r="S132" s="209"/>
      <c r="T132" s="209"/>
      <c r="U132" s="208"/>
      <c r="V132" s="151"/>
      <c r="W132" s="151"/>
    </row>
    <row r="133" spans="1:23" ht="15">
      <c r="A133" s="1"/>
      <c r="B133" s="1"/>
      <c r="C133" s="43"/>
      <c r="D133" s="41" t="s">
        <v>201</v>
      </c>
      <c r="E133" s="195">
        <f>+Sheet1!F8</f>
        <v>24640.07</v>
      </c>
      <c r="F133" s="195">
        <f>+Sheet1!G8</f>
        <v>-4387.93</v>
      </c>
      <c r="G133" s="195">
        <f>+Sheet1!H8</f>
        <v>47076.79</v>
      </c>
      <c r="H133" s="195">
        <f>+Sheet1!I8</f>
        <v>-45213.54</v>
      </c>
      <c r="I133" s="195">
        <f>+Sheet1!J8</f>
        <v>36490.69</v>
      </c>
      <c r="J133" s="195">
        <f>+Sheet1!K8</f>
        <v>-26062.21</v>
      </c>
      <c r="K133" s="195">
        <v>-36337.06999999999</v>
      </c>
      <c r="L133" s="180"/>
      <c r="M133" s="180"/>
      <c r="N133" s="180"/>
      <c r="O133" s="41"/>
      <c r="P133" s="41"/>
      <c r="Q133" s="44"/>
      <c r="R133" s="44">
        <f t="shared" si="28"/>
        <v>-3793.199999999997</v>
      </c>
      <c r="S133" s="209"/>
      <c r="T133" s="209"/>
      <c r="U133" s="208"/>
      <c r="V133" s="151"/>
      <c r="W133" s="151"/>
    </row>
    <row r="134" spans="1:22" ht="15">
      <c r="A134" s="1"/>
      <c r="B134" s="1"/>
      <c r="C134" s="43"/>
      <c r="D134" s="41" t="s">
        <v>202</v>
      </c>
      <c r="E134" s="195">
        <v>0</v>
      </c>
      <c r="F134" s="195">
        <f>+'[2]Stmt of $ Flows'!I15</f>
        <v>0</v>
      </c>
      <c r="G134" s="195"/>
      <c r="H134" s="195"/>
      <c r="I134" s="195"/>
      <c r="J134" s="195"/>
      <c r="K134" s="195"/>
      <c r="L134" s="180"/>
      <c r="M134" s="180"/>
      <c r="N134" s="180"/>
      <c r="O134" s="41"/>
      <c r="P134" s="44"/>
      <c r="Q134" s="44"/>
      <c r="R134" s="44">
        <f t="shared" si="28"/>
        <v>0</v>
      </c>
      <c r="S134" s="209"/>
      <c r="T134" s="209"/>
      <c r="U134" s="208"/>
      <c r="V134" s="151"/>
    </row>
    <row r="135" spans="1:23" ht="15">
      <c r="A135" s="1"/>
      <c r="B135" s="1"/>
      <c r="C135" s="43"/>
      <c r="D135" s="41" t="s">
        <v>203</v>
      </c>
      <c r="E135" s="195">
        <f>+Sheet1!F11</f>
        <v>3119.55</v>
      </c>
      <c r="F135" s="195">
        <f>+Sheet1!G11</f>
        <v>1861.17</v>
      </c>
      <c r="G135" s="195">
        <f>+Sheet1!H11</f>
        <v>1215.86</v>
      </c>
      <c r="H135" s="195">
        <f>+Sheet1!I11</f>
        <v>1917.54</v>
      </c>
      <c r="I135" s="195">
        <f>+Sheet1!J11</f>
        <v>-5.06</v>
      </c>
      <c r="J135" s="195">
        <f>+Sheet1!K11</f>
        <v>2555.83</v>
      </c>
      <c r="K135" s="195">
        <v>-2341.9199999999983</v>
      </c>
      <c r="L135" s="180"/>
      <c r="M135" s="180"/>
      <c r="N135" s="180"/>
      <c r="O135" s="41"/>
      <c r="P135" s="41"/>
      <c r="Q135" s="44"/>
      <c r="R135" s="44">
        <f t="shared" si="28"/>
        <v>8322.970000000001</v>
      </c>
      <c r="S135" s="209"/>
      <c r="T135" s="209"/>
      <c r="U135" s="208"/>
      <c r="V135" s="151"/>
      <c r="W135" s="151"/>
    </row>
    <row r="136" spans="1:23" ht="15">
      <c r="A136" s="1"/>
      <c r="B136" s="1"/>
      <c r="C136" s="43"/>
      <c r="D136" s="41" t="s">
        <v>204</v>
      </c>
      <c r="E136" s="195">
        <f>SUM(Sheet1!F12:F15)+SUM(Sheet1!F22:F27)</f>
        <v>-168007.83999999997</v>
      </c>
      <c r="F136" s="195">
        <f>SUM(Sheet1!G12:G15)+SUM(Sheet1!G22:G27)</f>
        <v>47263.56999999999</v>
      </c>
      <c r="G136" s="195">
        <f>SUM(Sheet1!H12:H15)+SUM(Sheet1!H22:H27)</f>
        <v>-51055.520000000004</v>
      </c>
      <c r="H136" s="195">
        <f>SUM(Sheet1!I12:I15)+SUM(Sheet1!I22:I27)</f>
        <v>53441.51</v>
      </c>
      <c r="I136" s="195">
        <f>SUM(Sheet1!J12:J15)+SUM(Sheet1!J22:J27)</f>
        <v>-46272.38</v>
      </c>
      <c r="J136" s="195">
        <f>SUM(Sheet1!K12:K15)+SUM(Sheet1!K22:K27)</f>
        <v>82.76000000000022</v>
      </c>
      <c r="K136" s="195">
        <v>51227.080000000016</v>
      </c>
      <c r="L136" s="180"/>
      <c r="M136" s="180"/>
      <c r="N136" s="180"/>
      <c r="O136" s="41"/>
      <c r="P136" s="44"/>
      <c r="Q136" s="44"/>
      <c r="R136" s="44">
        <f t="shared" si="28"/>
        <v>-113320.81999999995</v>
      </c>
      <c r="S136" s="209"/>
      <c r="T136" s="209"/>
      <c r="U136" s="208"/>
      <c r="V136" s="151"/>
      <c r="W136" s="151"/>
    </row>
    <row r="137" spans="1:23" ht="15">
      <c r="A137" s="1"/>
      <c r="B137" s="1"/>
      <c r="C137" s="43"/>
      <c r="D137" s="41" t="s">
        <v>205</v>
      </c>
      <c r="E137" s="195">
        <f>SUM(Sheet1!F16:F21)</f>
        <v>1085.48</v>
      </c>
      <c r="F137" s="195">
        <f>SUM(Sheet1!G16:G21)</f>
        <v>672.74</v>
      </c>
      <c r="G137" s="195">
        <f>SUM(Sheet1!H16:H21)</f>
        <v>1937.74</v>
      </c>
      <c r="H137" s="195">
        <f>SUM(Sheet1!I16:I21)</f>
        <v>5007.74</v>
      </c>
      <c r="I137" s="195">
        <f>SUM(Sheet1!J16:J21)</f>
        <v>14130</v>
      </c>
      <c r="J137" s="195">
        <f>SUM(Sheet1!K16:K21)</f>
        <v>4742.74</v>
      </c>
      <c r="K137" s="195">
        <v>10942.73999999999</v>
      </c>
      <c r="L137" s="180">
        <v>1085</v>
      </c>
      <c r="M137" s="180">
        <v>1085</v>
      </c>
      <c r="N137" s="180">
        <v>1085</v>
      </c>
      <c r="O137" s="180">
        <v>1085</v>
      </c>
      <c r="P137" s="41">
        <v>1085</v>
      </c>
      <c r="Q137" s="41">
        <v>1085</v>
      </c>
      <c r="R137" s="44">
        <f t="shared" si="28"/>
        <v>45029.17999999999</v>
      </c>
      <c r="S137" s="209"/>
      <c r="T137" s="209"/>
      <c r="U137" s="208"/>
      <c r="V137" s="151"/>
      <c r="W137" s="151"/>
    </row>
    <row r="138" spans="1:21" ht="2.25" customHeight="1">
      <c r="A138" s="1"/>
      <c r="B138" s="1"/>
      <c r="C138" s="43"/>
      <c r="D138" s="41"/>
      <c r="E138" s="195"/>
      <c r="F138" s="195"/>
      <c r="G138" s="195"/>
      <c r="H138" s="195"/>
      <c r="I138" s="195"/>
      <c r="J138" s="195"/>
      <c r="K138" s="195"/>
      <c r="L138" s="180"/>
      <c r="M138" s="180"/>
      <c r="N138" s="180"/>
      <c r="O138" s="41"/>
      <c r="P138" s="44"/>
      <c r="Q138" s="44"/>
      <c r="R138" s="44"/>
      <c r="S138" s="209"/>
      <c r="T138" s="209"/>
      <c r="U138" s="208"/>
    </row>
    <row r="139" spans="1:21" ht="15">
      <c r="A139" s="1"/>
      <c r="B139" s="1"/>
      <c r="C139" s="43"/>
      <c r="D139" s="140" t="s">
        <v>206</v>
      </c>
      <c r="E139" s="203">
        <f>SUM(E127:E138)</f>
        <v>-12326.209999999974</v>
      </c>
      <c r="F139" s="203">
        <f aca="true" t="shared" si="29" ref="F139:K139">SUM(F127:F138)</f>
        <v>-83013.40000000001</v>
      </c>
      <c r="G139" s="203">
        <f t="shared" si="29"/>
        <v>-128303.71</v>
      </c>
      <c r="H139" s="203">
        <f t="shared" si="29"/>
        <v>-108132.29</v>
      </c>
      <c r="I139" s="203">
        <f t="shared" si="29"/>
        <v>-56911.43000000001</v>
      </c>
      <c r="J139" s="203">
        <f t="shared" si="29"/>
        <v>69459.17</v>
      </c>
      <c r="K139" s="203">
        <f t="shared" si="29"/>
        <v>218680.89999999997</v>
      </c>
      <c r="L139" s="188">
        <f>SUM(L127:L138)</f>
        <v>488802.68606</v>
      </c>
      <c r="M139" s="188">
        <f>SUM(M127:M138)</f>
        <v>266685.71806</v>
      </c>
      <c r="N139" s="188">
        <f aca="true" t="shared" si="30" ref="N139:P139">SUM(N127:N138)</f>
        <v>-347931.10727</v>
      </c>
      <c r="O139" s="140">
        <f t="shared" si="30"/>
        <v>-61498.50409</v>
      </c>
      <c r="P139" s="140">
        <f t="shared" si="30"/>
        <v>-185981.81858</v>
      </c>
      <c r="Q139" s="141"/>
      <c r="R139" s="141">
        <f>SUM(R125:R138)</f>
        <v>60615.004169999986</v>
      </c>
      <c r="S139" s="210"/>
      <c r="T139" s="210"/>
      <c r="U139" s="208"/>
    </row>
    <row r="140" spans="1:21" ht="4.5" customHeight="1">
      <c r="A140" s="1"/>
      <c r="B140" s="1"/>
      <c r="C140" s="43"/>
      <c r="D140" s="41"/>
      <c r="E140" s="195"/>
      <c r="F140" s="195"/>
      <c r="G140" s="195"/>
      <c r="H140" s="195"/>
      <c r="I140" s="195"/>
      <c r="J140" s="195"/>
      <c r="K140" s="195"/>
      <c r="L140" s="180"/>
      <c r="M140" s="180"/>
      <c r="N140" s="180"/>
      <c r="O140" s="41"/>
      <c r="P140" s="44"/>
      <c r="Q140" s="44"/>
      <c r="R140" s="44"/>
      <c r="S140" s="209"/>
      <c r="T140" s="209"/>
      <c r="U140" s="208"/>
    </row>
    <row r="141" spans="1:21" ht="15">
      <c r="A141" s="1"/>
      <c r="B141" s="1" t="s">
        <v>207</v>
      </c>
      <c r="C141" s="43"/>
      <c r="D141" s="41"/>
      <c r="E141" s="195"/>
      <c r="F141" s="195"/>
      <c r="G141" s="195"/>
      <c r="H141" s="195"/>
      <c r="I141" s="195"/>
      <c r="J141" s="195"/>
      <c r="K141" s="195"/>
      <c r="L141" s="180"/>
      <c r="M141" s="180"/>
      <c r="N141" s="180"/>
      <c r="O141" s="41"/>
      <c r="P141" s="44"/>
      <c r="Q141" s="44"/>
      <c r="R141" s="44"/>
      <c r="S141" s="209"/>
      <c r="T141" s="209"/>
      <c r="U141" s="208"/>
    </row>
    <row r="142" spans="1:21" ht="15">
      <c r="A142" s="1"/>
      <c r="B142" s="1"/>
      <c r="C142" s="43" t="s">
        <v>208</v>
      </c>
      <c r="D142" s="41"/>
      <c r="E142" s="195">
        <f>+'[3]Stmt of $ Flows'!F23</f>
        <v>0</v>
      </c>
      <c r="F142" s="195"/>
      <c r="G142" s="195"/>
      <c r="H142" s="195"/>
      <c r="I142" s="195"/>
      <c r="J142" s="195"/>
      <c r="K142" s="195"/>
      <c r="L142" s="180"/>
      <c r="M142" s="180"/>
      <c r="N142" s="180"/>
      <c r="O142" s="41"/>
      <c r="P142" s="44"/>
      <c r="Q142" s="44"/>
      <c r="R142" s="44"/>
      <c r="S142" s="209"/>
      <c r="T142" s="209"/>
      <c r="U142" s="208"/>
    </row>
    <row r="143" spans="1:21" ht="15">
      <c r="A143" s="1"/>
      <c r="B143" s="1"/>
      <c r="C143" s="43" t="s">
        <v>215</v>
      </c>
      <c r="D143" s="41"/>
      <c r="E143" s="195">
        <f>+'[3]Stmt of $ Flows'!F24</f>
        <v>0</v>
      </c>
      <c r="F143" s="195"/>
      <c r="G143" s="195"/>
      <c r="H143" s="195"/>
      <c r="I143" s="195"/>
      <c r="J143" s="195"/>
      <c r="K143" s="195"/>
      <c r="L143" s="180"/>
      <c r="M143" s="180"/>
      <c r="N143" s="180"/>
      <c r="O143" s="41"/>
      <c r="P143" s="44"/>
      <c r="Q143" s="44"/>
      <c r="R143" s="44"/>
      <c r="S143" s="209"/>
      <c r="T143" s="209"/>
      <c r="U143" s="208"/>
    </row>
    <row r="144" spans="1:21" ht="5.25" customHeight="1">
      <c r="A144" s="1"/>
      <c r="B144" s="1"/>
      <c r="C144" s="43"/>
      <c r="D144" s="41"/>
      <c r="E144" s="195"/>
      <c r="F144" s="195"/>
      <c r="G144" s="195"/>
      <c r="H144" s="195"/>
      <c r="I144" s="195"/>
      <c r="J144" s="195"/>
      <c r="K144" s="195"/>
      <c r="L144" s="180"/>
      <c r="M144" s="180"/>
      <c r="N144" s="180"/>
      <c r="O144" s="41"/>
      <c r="P144" s="44"/>
      <c r="Q144" s="44"/>
      <c r="R144" s="44"/>
      <c r="S144" s="209"/>
      <c r="T144" s="209"/>
      <c r="U144" s="208"/>
    </row>
    <row r="145" spans="1:21" ht="15">
      <c r="A145" s="1"/>
      <c r="B145" s="1" t="s">
        <v>209</v>
      </c>
      <c r="C145" s="43"/>
      <c r="D145" s="41"/>
      <c r="E145" s="195"/>
      <c r="F145" s="195"/>
      <c r="G145" s="195"/>
      <c r="H145" s="195"/>
      <c r="I145" s="195"/>
      <c r="J145" s="195"/>
      <c r="K145" s="195"/>
      <c r="L145" s="180"/>
      <c r="M145" s="180"/>
      <c r="N145" s="180"/>
      <c r="O145" s="41"/>
      <c r="P145" s="44"/>
      <c r="Q145" s="44"/>
      <c r="R145" s="44"/>
      <c r="S145" s="209"/>
      <c r="T145" s="209"/>
      <c r="U145" s="208"/>
    </row>
    <row r="146" spans="1:31" ht="15">
      <c r="A146" s="1"/>
      <c r="B146" s="1"/>
      <c r="C146" s="43" t="s">
        <v>210</v>
      </c>
      <c r="D146" s="41"/>
      <c r="E146" s="195">
        <f>+Sheet1!F35</f>
        <v>-3761.38</v>
      </c>
      <c r="F146" s="195">
        <f>+Sheet1!G35</f>
        <v>-3784.89</v>
      </c>
      <c r="G146" s="195">
        <f>+Sheet1!H35</f>
        <v>-3808.55</v>
      </c>
      <c r="H146" s="195">
        <f>+Sheet1!I35</f>
        <v>-3832.35</v>
      </c>
      <c r="I146" s="195">
        <f>+Sheet1!J35</f>
        <v>-3856.3</v>
      </c>
      <c r="J146" s="195">
        <f>+Sheet1!K35</f>
        <v>-3880.4</v>
      </c>
      <c r="K146" s="195">
        <v>-3904.569999999996</v>
      </c>
      <c r="L146" s="180">
        <v>-3902.4400000000123</v>
      </c>
      <c r="M146" s="180">
        <v>-3925.950000000015</v>
      </c>
      <c r="N146" s="180">
        <v>-3949.4600000000173</v>
      </c>
      <c r="O146" s="41">
        <v>-3972.97000000002</v>
      </c>
      <c r="P146" s="41">
        <v>-3996.4800000000223</v>
      </c>
      <c r="Q146" s="44">
        <v>-4019.990000000025</v>
      </c>
      <c r="R146" s="44">
        <f>SUM(E146:Q146)</f>
        <v>-50595.73000000011</v>
      </c>
      <c r="S146" s="209"/>
      <c r="T146" s="209"/>
      <c r="U146" s="208"/>
      <c r="V146" s="151"/>
      <c r="X146" s="86"/>
      <c r="Y146" s="86"/>
      <c r="Z146" s="86"/>
      <c r="AA146" s="86"/>
      <c r="AB146" s="86"/>
      <c r="AC146" s="86"/>
      <c r="AD146" s="86"/>
      <c r="AE146" s="86"/>
    </row>
    <row r="147" spans="1:31" ht="3" customHeight="1">
      <c r="A147" s="1"/>
      <c r="B147" s="1"/>
      <c r="C147" s="43"/>
      <c r="D147" s="41"/>
      <c r="E147" s="195"/>
      <c r="F147" s="195"/>
      <c r="G147" s="195"/>
      <c r="H147" s="195"/>
      <c r="I147" s="195"/>
      <c r="J147" s="195"/>
      <c r="K147" s="195"/>
      <c r="L147" s="180"/>
      <c r="M147" s="180"/>
      <c r="N147" s="180"/>
      <c r="O147" s="41"/>
      <c r="P147" s="44"/>
      <c r="Q147" s="44"/>
      <c r="R147" s="44"/>
      <c r="S147" s="209"/>
      <c r="T147" s="209"/>
      <c r="U147" s="208"/>
      <c r="X147" s="86"/>
      <c r="Y147" s="86"/>
      <c r="Z147" s="86"/>
      <c r="AA147" s="86"/>
      <c r="AB147" s="86"/>
      <c r="AC147" s="86"/>
      <c r="AD147" s="86"/>
      <c r="AE147" s="86"/>
    </row>
    <row r="148" spans="1:31" ht="15.75" thickBot="1">
      <c r="A148" s="1"/>
      <c r="B148" s="1"/>
      <c r="C148" s="139"/>
      <c r="D148" s="142" t="s">
        <v>271</v>
      </c>
      <c r="E148" s="204">
        <f>SUM(E139:E147)</f>
        <v>-16087.589999999975</v>
      </c>
      <c r="F148" s="204">
        <f aca="true" t="shared" si="31" ref="F148:R148">SUM(F139:F147)</f>
        <v>-86798.29000000001</v>
      </c>
      <c r="G148" s="204">
        <f t="shared" si="31"/>
        <v>-132112.26</v>
      </c>
      <c r="H148" s="204">
        <f t="shared" si="31"/>
        <v>-111964.64</v>
      </c>
      <c r="I148" s="204">
        <f t="shared" si="31"/>
        <v>-60767.73000000001</v>
      </c>
      <c r="J148" s="204">
        <f t="shared" si="31"/>
        <v>65578.77</v>
      </c>
      <c r="K148" s="204">
        <f t="shared" si="31"/>
        <v>214776.32999999996</v>
      </c>
      <c r="L148" s="189">
        <f t="shared" si="31"/>
        <v>484900.24606</v>
      </c>
      <c r="M148" s="189">
        <f t="shared" si="31"/>
        <v>262759.76806</v>
      </c>
      <c r="N148" s="189">
        <f t="shared" si="31"/>
        <v>-351880.56727</v>
      </c>
      <c r="O148" s="142">
        <f t="shared" si="31"/>
        <v>-65471.474090000025</v>
      </c>
      <c r="P148" s="142">
        <f t="shared" si="31"/>
        <v>-189978.29858</v>
      </c>
      <c r="Q148" s="142"/>
      <c r="R148" s="142">
        <f t="shared" si="31"/>
        <v>10019.274169999873</v>
      </c>
      <c r="S148" s="210"/>
      <c r="T148" s="210"/>
      <c r="U148" s="208"/>
      <c r="X148" s="86"/>
      <c r="Y148" s="86"/>
      <c r="Z148" s="86"/>
      <c r="AA148" s="86"/>
      <c r="AB148" s="86"/>
      <c r="AC148" s="86"/>
      <c r="AD148" s="86"/>
      <c r="AE148" s="86"/>
    </row>
    <row r="149" spans="1:33" ht="7.5" customHeight="1" thickTop="1">
      <c r="A149" s="1"/>
      <c r="B149" s="1"/>
      <c r="C149" s="43"/>
      <c r="D149" s="41"/>
      <c r="E149" s="195"/>
      <c r="F149" s="195"/>
      <c r="G149" s="195"/>
      <c r="H149" s="195"/>
      <c r="I149" s="195"/>
      <c r="J149" s="195"/>
      <c r="K149" s="195"/>
      <c r="L149" s="180"/>
      <c r="M149" s="180"/>
      <c r="N149" s="180"/>
      <c r="O149" s="41"/>
      <c r="P149" s="41"/>
      <c r="Q149" s="41"/>
      <c r="R149" s="41"/>
      <c r="S149" s="209"/>
      <c r="T149" s="209"/>
      <c r="U149" s="208"/>
      <c r="AC149" s="86"/>
      <c r="AD149" s="86"/>
      <c r="AE149" s="86"/>
      <c r="AF149" s="86"/>
      <c r="AG149" s="86"/>
    </row>
    <row r="150" spans="1:21" ht="15">
      <c r="A150" s="1"/>
      <c r="B150" s="1" t="s">
        <v>270</v>
      </c>
      <c r="C150" s="43"/>
      <c r="D150" s="41"/>
      <c r="E150" s="195">
        <v>285512</v>
      </c>
      <c r="F150" s="195">
        <f>+E154</f>
        <v>368381.09</v>
      </c>
      <c r="G150" s="195">
        <f aca="true" t="shared" si="32" ref="G150:P150">+F154</f>
        <v>281582.80000000005</v>
      </c>
      <c r="H150" s="195">
        <f t="shared" si="32"/>
        <v>149470.54000000004</v>
      </c>
      <c r="I150" s="195">
        <f t="shared" si="32"/>
        <v>257505.90000000002</v>
      </c>
      <c r="J150" s="195">
        <f t="shared" si="32"/>
        <v>196738.17</v>
      </c>
      <c r="K150" s="195">
        <f t="shared" si="32"/>
        <v>262316.94</v>
      </c>
      <c r="L150" s="180">
        <f t="shared" si="32"/>
        <v>477093.26999999996</v>
      </c>
      <c r="M150" s="180">
        <f t="shared" si="32"/>
        <v>961993.5160599999</v>
      </c>
      <c r="N150" s="180">
        <f t="shared" si="32"/>
        <v>946858.28412</v>
      </c>
      <c r="O150" s="41">
        <f t="shared" si="32"/>
        <v>594977.71685</v>
      </c>
      <c r="P150" s="41">
        <f t="shared" si="32"/>
        <v>529506.2427599999</v>
      </c>
      <c r="Q150" s="44"/>
      <c r="R150" s="44">
        <f>+E150</f>
        <v>285512</v>
      </c>
      <c r="S150" s="209"/>
      <c r="T150" s="209"/>
      <c r="U150" s="208"/>
    </row>
    <row r="151" spans="1:21" ht="5.25" customHeight="1">
      <c r="A151" s="1"/>
      <c r="B151" s="1"/>
      <c r="C151" s="43"/>
      <c r="D151" s="41"/>
      <c r="E151" s="195"/>
      <c r="F151" s="195"/>
      <c r="G151" s="195"/>
      <c r="H151" s="195"/>
      <c r="I151" s="195"/>
      <c r="J151" s="195"/>
      <c r="K151" s="195"/>
      <c r="L151" s="180"/>
      <c r="M151" s="180"/>
      <c r="N151" s="180"/>
      <c r="O151" s="41"/>
      <c r="P151" s="44"/>
      <c r="Q151" s="44"/>
      <c r="R151" s="44"/>
      <c r="S151" s="209"/>
      <c r="T151" s="209"/>
      <c r="U151" s="208"/>
    </row>
    <row r="152" spans="1:21" s="86" customFormat="1" ht="15">
      <c r="A152" s="1"/>
      <c r="B152" s="1"/>
      <c r="C152" s="43" t="s">
        <v>268</v>
      </c>
      <c r="D152" s="41"/>
      <c r="E152" s="195">
        <v>98956.68</v>
      </c>
      <c r="F152" s="195"/>
      <c r="G152" s="195"/>
      <c r="H152" s="195">
        <v>220000</v>
      </c>
      <c r="I152" s="195"/>
      <c r="J152" s="195"/>
      <c r="K152" s="195"/>
      <c r="L152" s="180"/>
      <c r="M152" s="180">
        <v>-277895</v>
      </c>
      <c r="N152" s="180"/>
      <c r="O152" s="41"/>
      <c r="P152" s="41"/>
      <c r="Q152" s="44"/>
      <c r="R152" s="44">
        <f>SUM(E152:Q152)</f>
        <v>41061.67999999999</v>
      </c>
      <c r="S152" s="209"/>
      <c r="T152" s="209"/>
      <c r="U152" s="208"/>
    </row>
    <row r="153" spans="1:21" s="86" customFormat="1" ht="3.75" customHeight="1">
      <c r="A153" s="1"/>
      <c r="B153" s="1"/>
      <c r="C153" s="43"/>
      <c r="D153" s="41"/>
      <c r="E153" s="195"/>
      <c r="F153" s="195"/>
      <c r="G153" s="195"/>
      <c r="H153" s="195"/>
      <c r="I153" s="195"/>
      <c r="J153" s="195"/>
      <c r="K153" s="195"/>
      <c r="L153" s="180"/>
      <c r="M153" s="180"/>
      <c r="N153" s="180"/>
      <c r="O153" s="41"/>
      <c r="P153" s="41"/>
      <c r="Q153" s="44"/>
      <c r="R153" s="41"/>
      <c r="S153" s="209"/>
      <c r="T153" s="209"/>
      <c r="U153" s="208"/>
    </row>
    <row r="154" spans="1:21" ht="15">
      <c r="A154" s="1" t="s">
        <v>269</v>
      </c>
      <c r="C154" s="43"/>
      <c r="D154" s="41"/>
      <c r="E154" s="203">
        <f>SUM(E148:E153)</f>
        <v>368381.09</v>
      </c>
      <c r="F154" s="203">
        <f aca="true" t="shared" si="33" ref="F154:P154">SUM(F148:F153)</f>
        <v>281582.80000000005</v>
      </c>
      <c r="G154" s="203">
        <f t="shared" si="33"/>
        <v>149470.54000000004</v>
      </c>
      <c r="H154" s="203">
        <f t="shared" si="33"/>
        <v>257505.90000000002</v>
      </c>
      <c r="I154" s="203">
        <f t="shared" si="33"/>
        <v>196738.17</v>
      </c>
      <c r="J154" s="203">
        <f t="shared" si="33"/>
        <v>262316.94</v>
      </c>
      <c r="K154" s="203">
        <f t="shared" si="33"/>
        <v>477093.26999999996</v>
      </c>
      <c r="L154" s="188">
        <f t="shared" si="33"/>
        <v>961993.5160599999</v>
      </c>
      <c r="M154" s="188">
        <f t="shared" si="33"/>
        <v>946858.28412</v>
      </c>
      <c r="N154" s="188">
        <f t="shared" si="33"/>
        <v>594977.71685</v>
      </c>
      <c r="O154" s="140">
        <f t="shared" si="33"/>
        <v>529506.2427599999</v>
      </c>
      <c r="P154" s="140">
        <f t="shared" si="33"/>
        <v>339527.94417999993</v>
      </c>
      <c r="Q154" s="141"/>
      <c r="R154" s="140">
        <f>+P154</f>
        <v>339527.94417999993</v>
      </c>
      <c r="S154" s="209"/>
      <c r="T154" s="209"/>
      <c r="U154" s="208"/>
    </row>
    <row r="155" spans="1:21" ht="3" customHeight="1">
      <c r="A155" s="1"/>
      <c r="B155" s="1"/>
      <c r="C155" s="43"/>
      <c r="D155" s="41"/>
      <c r="E155" s="195"/>
      <c r="F155" s="195"/>
      <c r="G155" s="195"/>
      <c r="H155" s="195"/>
      <c r="I155" s="195"/>
      <c r="J155" s="195"/>
      <c r="K155" s="195"/>
      <c r="L155" s="180"/>
      <c r="M155" s="180"/>
      <c r="N155" s="180"/>
      <c r="O155" s="41"/>
      <c r="P155" s="44"/>
      <c r="Q155" s="44"/>
      <c r="R155" s="44"/>
      <c r="S155" s="208"/>
      <c r="T155" s="208"/>
      <c r="U155" s="208"/>
    </row>
    <row r="156" spans="1:21" ht="15">
      <c r="A156" s="1"/>
      <c r="B156" s="1" t="s">
        <v>214</v>
      </c>
      <c r="C156" s="43"/>
      <c r="D156" s="41"/>
      <c r="E156" s="203">
        <f>672914.87+49189.79</f>
        <v>722104.66</v>
      </c>
      <c r="F156" s="203">
        <f>+E156</f>
        <v>722104.66</v>
      </c>
      <c r="G156" s="203">
        <f>+F156</f>
        <v>722104.66</v>
      </c>
      <c r="H156" s="203">
        <f>+G156-220000</f>
        <v>502104.66000000003</v>
      </c>
      <c r="I156" s="203">
        <f aca="true" t="shared" si="34" ref="I156:K156">+H156</f>
        <v>502104.66000000003</v>
      </c>
      <c r="J156" s="203">
        <f t="shared" si="34"/>
        <v>502104.66000000003</v>
      </c>
      <c r="K156" s="203">
        <f t="shared" si="34"/>
        <v>502104.66000000003</v>
      </c>
      <c r="L156" s="188">
        <f>+K156-L152</f>
        <v>502104.66000000003</v>
      </c>
      <c r="M156" s="188">
        <f>+L156-M152</f>
        <v>779999.66</v>
      </c>
      <c r="N156" s="188">
        <f>+M156-N152</f>
        <v>779999.66</v>
      </c>
      <c r="O156" s="140">
        <f>+N156-O152</f>
        <v>779999.66</v>
      </c>
      <c r="P156" s="140">
        <f>+O156-P152</f>
        <v>779999.66</v>
      </c>
      <c r="Q156" s="141"/>
      <c r="R156" s="141">
        <f>+P156</f>
        <v>779999.66</v>
      </c>
      <c r="S156" s="208"/>
      <c r="T156" s="208"/>
      <c r="U156" s="208"/>
    </row>
    <row r="157" spans="1:21" s="86" customFormat="1" ht="3" customHeight="1">
      <c r="A157" s="1"/>
      <c r="B157" s="1"/>
      <c r="C157" s="43"/>
      <c r="D157" s="41"/>
      <c r="E157" s="195"/>
      <c r="F157" s="195"/>
      <c r="G157" s="195"/>
      <c r="H157" s="195"/>
      <c r="I157" s="195"/>
      <c r="J157" s="195"/>
      <c r="K157" s="195"/>
      <c r="L157" s="180"/>
      <c r="M157" s="180"/>
      <c r="N157" s="180"/>
      <c r="O157" s="41"/>
      <c r="P157" s="41"/>
      <c r="Q157" s="44"/>
      <c r="R157" s="44"/>
      <c r="S157" s="208"/>
      <c r="T157" s="208"/>
      <c r="U157" s="208"/>
    </row>
    <row r="158" spans="1:21" s="86" customFormat="1" ht="15.75" thickBot="1">
      <c r="A158" s="1" t="s">
        <v>272</v>
      </c>
      <c r="B158" s="1"/>
      <c r="C158" s="152"/>
      <c r="D158" s="139"/>
      <c r="E158" s="204">
        <f aca="true" t="shared" si="35" ref="E158:P158">SUM(E154:E157)</f>
        <v>1090485.75</v>
      </c>
      <c r="F158" s="204">
        <f t="shared" si="35"/>
        <v>1003687.4600000001</v>
      </c>
      <c r="G158" s="204">
        <f t="shared" si="35"/>
        <v>871575.2000000001</v>
      </c>
      <c r="H158" s="204">
        <f t="shared" si="35"/>
        <v>759610.56</v>
      </c>
      <c r="I158" s="204">
        <f t="shared" si="35"/>
        <v>698842.8300000001</v>
      </c>
      <c r="J158" s="204">
        <f t="shared" si="35"/>
        <v>764421.6000000001</v>
      </c>
      <c r="K158" s="204">
        <f t="shared" si="35"/>
        <v>979197.9299999999</v>
      </c>
      <c r="L158" s="189">
        <f t="shared" si="35"/>
        <v>1464098.17606</v>
      </c>
      <c r="M158" s="189">
        <f t="shared" si="35"/>
        <v>1726857.9441200001</v>
      </c>
      <c r="N158" s="189">
        <f t="shared" si="35"/>
        <v>1374977.3768500001</v>
      </c>
      <c r="O158" s="142">
        <f t="shared" si="35"/>
        <v>1309505.90276</v>
      </c>
      <c r="P158" s="142">
        <f t="shared" si="35"/>
        <v>1119527.60418</v>
      </c>
      <c r="Q158" s="142"/>
      <c r="R158" s="142">
        <f>SUM(R154:R157)</f>
        <v>1119527.60418</v>
      </c>
      <c r="S158" s="208"/>
      <c r="T158" s="208"/>
      <c r="U158" s="208"/>
    </row>
    <row r="159" spans="1:19" ht="3.75" customHeight="1" thickTop="1">
      <c r="A159" s="1"/>
      <c r="B159" s="1"/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86"/>
    </row>
    <row r="160" spans="10:19" ht="15">
      <c r="J160" s="86"/>
      <c r="K160" s="86"/>
      <c r="L160" s="86"/>
      <c r="M160" s="86"/>
      <c r="N160" s="86"/>
      <c r="S160" s="86"/>
    </row>
    <row r="161" spans="11:19" ht="15">
      <c r="K161" s="86"/>
      <c r="L161" s="86"/>
      <c r="M161" s="151"/>
      <c r="P161" s="151"/>
      <c r="S161" s="173"/>
    </row>
    <row r="162" spans="10:15" ht="15">
      <c r="J162" s="151"/>
      <c r="O162" s="151"/>
    </row>
    <row r="163" ht="15">
      <c r="M163" s="151"/>
    </row>
  </sheetData>
  <mergeCells count="1">
    <mergeCell ref="E3:K3"/>
  </mergeCells>
  <printOptions horizontalCentered="1"/>
  <pageMargins left="0.237" right="0.37" top="0.35" bottom="0.5" header="0.3" footer="0.3"/>
  <pageSetup horizontalDpi="600" verticalDpi="600" orientation="landscape" scale="80" r:id="rId1"/>
  <headerFooter>
    <oddFooter>&amp;CPage &amp;P - &amp;A</oddFooter>
  </headerFooter>
  <rowBreaks count="2" manualBreakCount="2">
    <brk id="50" max="16383" man="1"/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0">
      <selection activeCell="I11" sqref="I11"/>
    </sheetView>
  </sheetViews>
  <sheetFormatPr defaultColWidth="9.140625" defaultRowHeight="15"/>
  <cols>
    <col min="1" max="4" width="1.8515625" style="0" customWidth="1"/>
    <col min="5" max="5" width="32.140625" style="0" customWidth="1"/>
    <col min="6" max="6" width="11.57421875" style="0" customWidth="1"/>
    <col min="7" max="7" width="10.00390625" style="0" bestFit="1" customWidth="1"/>
    <col min="8" max="9" width="10.00390625" style="86" bestFit="1" customWidth="1"/>
  </cols>
  <sheetData>
    <row r="1" spans="1:11" ht="15.75" thickBot="1">
      <c r="A1" s="17"/>
      <c r="B1" s="17"/>
      <c r="C1" s="17"/>
      <c r="D1" s="17"/>
      <c r="E1" s="17"/>
      <c r="F1" s="206" t="s">
        <v>226</v>
      </c>
      <c r="G1" s="206" t="s">
        <v>258</v>
      </c>
      <c r="H1" s="206" t="s">
        <v>261</v>
      </c>
      <c r="I1" s="206" t="s">
        <v>262</v>
      </c>
      <c r="J1" s="206" t="s">
        <v>263</v>
      </c>
      <c r="K1" s="206" t="s">
        <v>274</v>
      </c>
    </row>
    <row r="2" spans="1:10" ht="15.75" thickTop="1">
      <c r="A2" s="1"/>
      <c r="B2" s="1"/>
      <c r="C2" s="1" t="s">
        <v>227</v>
      </c>
      <c r="D2" s="1"/>
      <c r="E2" s="1"/>
      <c r="F2" s="38"/>
      <c r="G2" s="38"/>
      <c r="H2" s="38"/>
      <c r="I2" s="38"/>
      <c r="J2" s="38"/>
    </row>
    <row r="3" spans="1:11" ht="15">
      <c r="A3" s="1"/>
      <c r="B3" s="1"/>
      <c r="C3" s="1"/>
      <c r="D3" s="1" t="s">
        <v>142</v>
      </c>
      <c r="E3" s="1"/>
      <c r="F3" s="38">
        <v>-71002.63</v>
      </c>
      <c r="G3" s="38">
        <v>-194577.44</v>
      </c>
      <c r="H3" s="38">
        <v>-151907.79</v>
      </c>
      <c r="I3" s="38">
        <v>-99239.72</v>
      </c>
      <c r="J3" s="38">
        <f>+'2016-07'!I127</f>
        <v>-62309.41</v>
      </c>
      <c r="K3" s="38">
        <f>+'2016-07'!J127</f>
        <v>259027.34</v>
      </c>
    </row>
    <row r="4" spans="1:11" ht="15">
      <c r="A4" s="1"/>
      <c r="B4" s="1"/>
      <c r="C4" s="1"/>
      <c r="D4" s="1" t="s">
        <v>228</v>
      </c>
      <c r="E4" s="1"/>
      <c r="F4" s="38"/>
      <c r="G4" s="38"/>
      <c r="H4" s="38"/>
      <c r="I4" s="38"/>
      <c r="J4" s="38"/>
      <c r="K4" s="38"/>
    </row>
    <row r="5" spans="1:11" ht="15">
      <c r="A5" s="1"/>
      <c r="B5" s="1"/>
      <c r="C5" s="1"/>
      <c r="D5" s="1" t="s">
        <v>229</v>
      </c>
      <c r="E5" s="1"/>
      <c r="F5" s="38"/>
      <c r="G5" s="38"/>
      <c r="H5" s="38"/>
      <c r="I5" s="38"/>
      <c r="J5" s="38"/>
      <c r="K5" s="38"/>
    </row>
    <row r="6" spans="1:11" ht="15">
      <c r="A6" s="1"/>
      <c r="B6" s="1"/>
      <c r="C6" s="1"/>
      <c r="D6" s="1"/>
      <c r="E6" s="1" t="s">
        <v>230</v>
      </c>
      <c r="F6" s="38">
        <v>168189.38</v>
      </c>
      <c r="G6" s="38">
        <v>42757.7</v>
      </c>
      <c r="H6" s="38">
        <v>22952.43</v>
      </c>
      <c r="I6" s="38">
        <v>-5202.6</v>
      </c>
      <c r="J6" s="38">
        <v>-16766.06</v>
      </c>
      <c r="K6" s="38">
        <v>51185.92</v>
      </c>
    </row>
    <row r="7" spans="1:11" ht="15">
      <c r="A7" s="1"/>
      <c r="B7" s="1"/>
      <c r="C7" s="1"/>
      <c r="D7" s="1"/>
      <c r="E7" s="1" t="s">
        <v>264</v>
      </c>
      <c r="F7" s="38">
        <v>26433</v>
      </c>
      <c r="G7" s="38">
        <v>20180</v>
      </c>
      <c r="H7" s="38">
        <v>5760</v>
      </c>
      <c r="I7" s="38">
        <v>4220</v>
      </c>
      <c r="J7" s="38">
        <f>6665-1860</f>
        <v>4805</v>
      </c>
      <c r="K7" s="38">
        <v>-231240</v>
      </c>
    </row>
    <row r="8" spans="1:11" ht="15">
      <c r="A8" s="1"/>
      <c r="B8" s="1"/>
      <c r="C8" s="1"/>
      <c r="D8" s="1"/>
      <c r="E8" s="1" t="s">
        <v>231</v>
      </c>
      <c r="F8" s="38">
        <v>24640.07</v>
      </c>
      <c r="G8" s="38">
        <v>-4387.93</v>
      </c>
      <c r="H8" s="38">
        <v>47076.79</v>
      </c>
      <c r="I8" s="38">
        <v>-45213.54</v>
      </c>
      <c r="J8" s="38">
        <v>36490.69</v>
      </c>
      <c r="K8" s="38">
        <v>-26062.21</v>
      </c>
    </row>
    <row r="9" spans="1:11" s="86" customFormat="1" ht="15">
      <c r="A9" s="1"/>
      <c r="B9" s="1"/>
      <c r="C9" s="1"/>
      <c r="D9" s="1"/>
      <c r="E9" s="1" t="s">
        <v>259</v>
      </c>
      <c r="F9" s="38"/>
      <c r="G9" s="38"/>
      <c r="H9" s="38">
        <v>-2500</v>
      </c>
      <c r="I9" s="38">
        <v>2500</v>
      </c>
      <c r="J9" s="38">
        <v>-5000</v>
      </c>
      <c r="K9" s="38">
        <v>0</v>
      </c>
    </row>
    <row r="10" spans="1:11" s="86" customFormat="1" ht="15">
      <c r="A10" s="1"/>
      <c r="B10" s="1"/>
      <c r="C10" s="1"/>
      <c r="D10" s="1"/>
      <c r="E10" s="1" t="s">
        <v>260</v>
      </c>
      <c r="F10" s="38"/>
      <c r="G10" s="38"/>
      <c r="H10" s="38">
        <v>-5000</v>
      </c>
      <c r="I10" s="38">
        <v>-28780</v>
      </c>
      <c r="J10" s="38">
        <v>14799</v>
      </c>
      <c r="K10" s="38">
        <v>5950</v>
      </c>
    </row>
    <row r="11" spans="1:11" ht="15">
      <c r="A11" s="1"/>
      <c r="B11" s="1"/>
      <c r="C11" s="1"/>
      <c r="D11" s="1"/>
      <c r="E11" s="1" t="s">
        <v>232</v>
      </c>
      <c r="F11" s="38">
        <v>3119.55</v>
      </c>
      <c r="G11" s="38">
        <v>1861.17</v>
      </c>
      <c r="H11" s="38">
        <v>1215.86</v>
      </c>
      <c r="I11" s="38">
        <v>1917.54</v>
      </c>
      <c r="J11" s="38">
        <v>-5.06</v>
      </c>
      <c r="K11" s="38">
        <v>2555.83</v>
      </c>
    </row>
    <row r="12" spans="1:11" ht="15">
      <c r="A12" s="1"/>
      <c r="B12" s="1"/>
      <c r="C12" s="1"/>
      <c r="D12" s="1"/>
      <c r="E12" s="1" t="s">
        <v>233</v>
      </c>
      <c r="F12" s="38">
        <v>-135044.96</v>
      </c>
      <c r="G12" s="38">
        <v>39749.96</v>
      </c>
      <c r="H12" s="38">
        <v>-9425.23</v>
      </c>
      <c r="I12" s="38">
        <v>45605.66</v>
      </c>
      <c r="J12" s="38">
        <v>-61652.88</v>
      </c>
      <c r="K12" s="38">
        <v>-10932.94</v>
      </c>
    </row>
    <row r="13" spans="1:11" ht="15">
      <c r="A13" s="1"/>
      <c r="B13" s="1"/>
      <c r="C13" s="1"/>
      <c r="D13" s="1"/>
      <c r="E13" s="1" t="s">
        <v>234</v>
      </c>
      <c r="F13" s="38">
        <v>-1434.94</v>
      </c>
      <c r="G13" s="38">
        <v>-9634.52</v>
      </c>
      <c r="H13" s="38"/>
      <c r="I13" s="38"/>
      <c r="J13" s="38"/>
      <c r="K13" s="38"/>
    </row>
    <row r="14" spans="1:11" ht="15">
      <c r="A14" s="1"/>
      <c r="B14" s="1"/>
      <c r="C14" s="1"/>
      <c r="D14" s="1"/>
      <c r="E14" s="1" t="s">
        <v>235</v>
      </c>
      <c r="F14" s="38">
        <v>-30000</v>
      </c>
      <c r="J14" s="86"/>
      <c r="K14" s="86"/>
    </row>
    <row r="15" spans="1:11" ht="15">
      <c r="A15" s="1"/>
      <c r="B15" s="1"/>
      <c r="C15" s="1"/>
      <c r="D15" s="1"/>
      <c r="E15" s="1" t="s">
        <v>236</v>
      </c>
      <c r="F15" s="38">
        <v>-9608.33</v>
      </c>
      <c r="J15" s="86"/>
      <c r="K15" s="86"/>
    </row>
    <row r="16" spans="1:11" ht="15">
      <c r="A16" s="1"/>
      <c r="B16" s="1"/>
      <c r="C16" s="1"/>
      <c r="D16" s="1"/>
      <c r="E16" s="1" t="s">
        <v>237</v>
      </c>
      <c r="F16" s="38">
        <v>615.48</v>
      </c>
      <c r="G16" s="38">
        <v>337.74</v>
      </c>
      <c r="H16" s="38">
        <v>937.74</v>
      </c>
      <c r="I16" s="38">
        <v>2197.74</v>
      </c>
      <c r="J16" s="38">
        <v>8460</v>
      </c>
      <c r="K16" s="38">
        <v>2137.74</v>
      </c>
    </row>
    <row r="17" spans="1:11" ht="15">
      <c r="A17" s="1"/>
      <c r="B17" s="1"/>
      <c r="C17" s="1"/>
      <c r="D17" s="1"/>
      <c r="E17" s="1" t="s">
        <v>265</v>
      </c>
      <c r="F17" s="38">
        <v>30</v>
      </c>
      <c r="G17" s="38">
        <v>35</v>
      </c>
      <c r="H17" s="38">
        <v>100</v>
      </c>
      <c r="I17" s="38">
        <v>230</v>
      </c>
      <c r="J17" s="38">
        <v>560</v>
      </c>
      <c r="K17" s="38">
        <v>105</v>
      </c>
    </row>
    <row r="18" spans="1:11" ht="15">
      <c r="A18" s="1"/>
      <c r="B18" s="1"/>
      <c r="C18" s="1"/>
      <c r="D18" s="1"/>
      <c r="E18" s="1" t="s">
        <v>266</v>
      </c>
      <c r="F18" s="38">
        <v>400</v>
      </c>
      <c r="G18" s="38">
        <v>30</v>
      </c>
      <c r="H18" s="38">
        <v>90</v>
      </c>
      <c r="I18" s="38">
        <v>150</v>
      </c>
      <c r="J18" s="38">
        <v>360</v>
      </c>
      <c r="K18" s="38">
        <v>220</v>
      </c>
    </row>
    <row r="19" spans="1:11" s="86" customFormat="1" ht="15">
      <c r="A19" s="1"/>
      <c r="B19" s="1"/>
      <c r="C19" s="1"/>
      <c r="D19" s="1"/>
      <c r="E19" s="1" t="s">
        <v>238</v>
      </c>
      <c r="F19" s="38"/>
      <c r="G19" s="38"/>
      <c r="H19" s="38"/>
      <c r="I19" s="38"/>
      <c r="J19" s="38">
        <v>270</v>
      </c>
      <c r="K19" s="38">
        <v>30</v>
      </c>
    </row>
    <row r="20" spans="1:11" s="86" customFormat="1" ht="15">
      <c r="A20" s="1"/>
      <c r="B20" s="1"/>
      <c r="C20" s="1"/>
      <c r="D20" s="1"/>
      <c r="E20" s="1" t="s">
        <v>239</v>
      </c>
      <c r="F20" s="38"/>
      <c r="G20" s="38"/>
      <c r="H20" s="38"/>
      <c r="I20" s="38"/>
      <c r="J20" s="38">
        <v>3960</v>
      </c>
      <c r="K20" s="38">
        <v>2250</v>
      </c>
    </row>
    <row r="21" spans="1:11" s="86" customFormat="1" ht="15">
      <c r="A21" s="1"/>
      <c r="B21" s="1"/>
      <c r="C21" s="1"/>
      <c r="D21" s="1"/>
      <c r="E21" s="1" t="s">
        <v>240</v>
      </c>
      <c r="F21" s="38">
        <v>40</v>
      </c>
      <c r="G21" s="38">
        <v>270</v>
      </c>
      <c r="H21" s="38">
        <v>810</v>
      </c>
      <c r="I21" s="38">
        <v>2430</v>
      </c>
      <c r="J21" s="38">
        <v>520</v>
      </c>
      <c r="K21" s="38">
        <v>0</v>
      </c>
    </row>
    <row r="22" spans="1:11" ht="15">
      <c r="A22" s="1"/>
      <c r="B22" s="1"/>
      <c r="C22" s="1"/>
      <c r="D22" s="1"/>
      <c r="E22" s="1" t="s">
        <v>241</v>
      </c>
      <c r="F22" s="38">
        <v>20</v>
      </c>
      <c r="G22" s="38">
        <v>80</v>
      </c>
      <c r="H22" s="38">
        <v>120</v>
      </c>
      <c r="I22" s="38">
        <v>160</v>
      </c>
      <c r="J22" s="38">
        <v>-1654.91</v>
      </c>
      <c r="K22" s="38">
        <v>0</v>
      </c>
    </row>
    <row r="23" spans="1:11" ht="15">
      <c r="A23" s="1"/>
      <c r="B23" s="1"/>
      <c r="C23" s="1"/>
      <c r="D23" s="1"/>
      <c r="E23" s="1" t="s">
        <v>242</v>
      </c>
      <c r="F23" s="38">
        <v>6244.38</v>
      </c>
      <c r="G23" s="38">
        <v>-70</v>
      </c>
      <c r="H23" s="38">
        <v>2445</v>
      </c>
      <c r="I23" s="38">
        <v>-650</v>
      </c>
      <c r="J23" s="38">
        <v>12442.91</v>
      </c>
      <c r="K23" s="38">
        <v>10702.27</v>
      </c>
    </row>
    <row r="24" spans="1:11" ht="15">
      <c r="A24" s="1"/>
      <c r="B24" s="1"/>
      <c r="C24" s="1"/>
      <c r="D24" s="1"/>
      <c r="E24" s="1" t="s">
        <v>243</v>
      </c>
      <c r="F24" s="38">
        <v>240.4</v>
      </c>
      <c r="G24" s="38">
        <v>17751.66</v>
      </c>
      <c r="H24" s="38">
        <v>-45208.94</v>
      </c>
      <c r="I24" s="38">
        <v>6159.67</v>
      </c>
      <c r="J24" s="38">
        <v>784.39</v>
      </c>
      <c r="K24" s="38">
        <v>1215.36</v>
      </c>
    </row>
    <row r="25" spans="1:11" ht="15">
      <c r="A25" s="1"/>
      <c r="B25" s="1"/>
      <c r="C25" s="1"/>
      <c r="D25" s="1"/>
      <c r="E25" s="1" t="s">
        <v>244</v>
      </c>
      <c r="F25" s="38">
        <v>2332.61</v>
      </c>
      <c r="G25" s="38">
        <v>1832.87</v>
      </c>
      <c r="H25" s="38">
        <v>-3906.05</v>
      </c>
      <c r="I25" s="38">
        <v>532.2</v>
      </c>
      <c r="J25" s="38">
        <v>4308.11</v>
      </c>
      <c r="K25" s="38">
        <v>-901.93</v>
      </c>
    </row>
    <row r="26" spans="1:11" s="86" customFormat="1" ht="15">
      <c r="A26" s="1"/>
      <c r="B26" s="1"/>
      <c r="C26" s="1"/>
      <c r="D26" s="1"/>
      <c r="E26" s="1" t="s">
        <v>245</v>
      </c>
      <c r="F26" s="38">
        <v>-757</v>
      </c>
      <c r="G26" s="38">
        <v>-2446.4</v>
      </c>
      <c r="H26" s="38">
        <v>4919.7</v>
      </c>
      <c r="I26" s="38">
        <v>1633.98</v>
      </c>
      <c r="J26" s="38">
        <v>0</v>
      </c>
      <c r="K26" s="38">
        <v>0</v>
      </c>
    </row>
    <row r="27" spans="1:11" ht="15.75" thickBot="1">
      <c r="A27" s="1"/>
      <c r="B27" s="1"/>
      <c r="C27" s="1"/>
      <c r="D27" s="1"/>
      <c r="E27" s="1" t="s">
        <v>267</v>
      </c>
      <c r="F27" s="87"/>
      <c r="G27" s="87"/>
      <c r="H27" s="87"/>
      <c r="I27" s="87"/>
      <c r="J27" s="87">
        <v>-500</v>
      </c>
      <c r="K27" s="87">
        <v>0</v>
      </c>
    </row>
    <row r="28" spans="1:11" ht="15">
      <c r="A28" s="1"/>
      <c r="B28" s="1"/>
      <c r="C28" s="1" t="s">
        <v>246</v>
      </c>
      <c r="D28" s="1"/>
      <c r="E28" s="1"/>
      <c r="F28" s="38">
        <v>-15542.99</v>
      </c>
      <c r="G28" s="38">
        <v>-88420.57</v>
      </c>
      <c r="H28" s="38">
        <v>-131613.84</v>
      </c>
      <c r="I28" s="38">
        <f>SUM(I2:I27)</f>
        <v>-111349.07</v>
      </c>
      <c r="J28" s="38">
        <f>SUM(J2:J27)</f>
        <v>-60128.22</v>
      </c>
      <c r="K28" s="38">
        <f>SUM(K2:K27)</f>
        <v>66242.38000000002</v>
      </c>
    </row>
    <row r="29" spans="1:11" ht="15">
      <c r="A29" s="1"/>
      <c r="B29" s="1"/>
      <c r="C29" s="1" t="s">
        <v>247</v>
      </c>
      <c r="D29" s="1"/>
      <c r="E29" s="1"/>
      <c r="F29" s="38"/>
      <c r="J29" s="86"/>
      <c r="K29" s="86"/>
    </row>
    <row r="30" spans="1:11" ht="15">
      <c r="A30" s="1"/>
      <c r="B30" s="1"/>
      <c r="C30" s="1"/>
      <c r="D30" s="1" t="s">
        <v>248</v>
      </c>
      <c r="E30" s="1"/>
      <c r="F30" s="38">
        <v>1333.33</v>
      </c>
      <c r="G30" s="38">
        <v>1333.34</v>
      </c>
      <c r="H30" s="38">
        <v>1333.33</v>
      </c>
      <c r="I30" s="38">
        <v>1333.33</v>
      </c>
      <c r="J30" s="38">
        <v>1333.34</v>
      </c>
      <c r="K30" s="38">
        <v>1333.33</v>
      </c>
    </row>
    <row r="31" spans="1:11" ht="15">
      <c r="A31" s="1"/>
      <c r="B31" s="1"/>
      <c r="C31" s="1"/>
      <c r="D31" s="1" t="s">
        <v>249</v>
      </c>
      <c r="E31" s="1"/>
      <c r="F31" s="38">
        <v>1457.3</v>
      </c>
      <c r="G31" s="38">
        <v>1457.3</v>
      </c>
      <c r="H31" s="38">
        <v>1457.3</v>
      </c>
      <c r="I31" s="38">
        <v>1457.3</v>
      </c>
      <c r="J31" s="38">
        <v>1457.3</v>
      </c>
      <c r="K31" s="38">
        <v>1457.3</v>
      </c>
    </row>
    <row r="32" spans="1:11" ht="15.75" thickBot="1">
      <c r="A32" s="1"/>
      <c r="B32" s="1"/>
      <c r="C32" s="1"/>
      <c r="D32" s="1" t="s">
        <v>250</v>
      </c>
      <c r="E32" s="1"/>
      <c r="F32" s="87">
        <v>426.15</v>
      </c>
      <c r="G32" s="87">
        <v>426.15</v>
      </c>
      <c r="H32" s="87">
        <v>426.15</v>
      </c>
      <c r="I32" s="87">
        <v>426.15</v>
      </c>
      <c r="J32" s="87">
        <v>426.15</v>
      </c>
      <c r="K32" s="87">
        <v>426.15</v>
      </c>
    </row>
    <row r="33" spans="1:11" ht="15">
      <c r="A33" s="1"/>
      <c r="B33" s="1"/>
      <c r="C33" s="1" t="s">
        <v>251</v>
      </c>
      <c r="D33" s="1"/>
      <c r="E33" s="1"/>
      <c r="F33" s="38">
        <f aca="true" t="shared" si="0" ref="F33:I33">SUM(F30:F32)</f>
        <v>3216.78</v>
      </c>
      <c r="G33" s="38">
        <f t="shared" si="0"/>
        <v>3216.79</v>
      </c>
      <c r="H33" s="38">
        <f t="shared" si="0"/>
        <v>3216.78</v>
      </c>
      <c r="I33" s="38">
        <f t="shared" si="0"/>
        <v>3216.78</v>
      </c>
      <c r="J33" s="38">
        <f>SUM(J30:J32)</f>
        <v>3216.79</v>
      </c>
      <c r="K33" s="38">
        <f>SUM(K30:K32)</f>
        <v>3216.78</v>
      </c>
    </row>
    <row r="34" spans="1:11" ht="15">
      <c r="A34" s="1"/>
      <c r="B34" s="1"/>
      <c r="C34" s="1" t="s">
        <v>252</v>
      </c>
      <c r="D34" s="1"/>
      <c r="E34" s="1"/>
      <c r="F34" s="38"/>
      <c r="G34" s="38"/>
      <c r="H34" s="38"/>
      <c r="I34" s="38"/>
      <c r="J34" s="38"/>
      <c r="K34" s="38"/>
    </row>
    <row r="35" spans="1:11" ht="15.75" thickBot="1">
      <c r="A35" s="1"/>
      <c r="B35" s="1"/>
      <c r="C35" s="1"/>
      <c r="D35" s="1" t="s">
        <v>253</v>
      </c>
      <c r="E35" s="1"/>
      <c r="F35" s="38">
        <v>-3761.38</v>
      </c>
      <c r="G35" s="38">
        <v>-3784.89</v>
      </c>
      <c r="H35" s="38">
        <v>-3808.55</v>
      </c>
      <c r="I35" s="38">
        <v>-3832.35</v>
      </c>
      <c r="J35" s="38">
        <v>-3856.3</v>
      </c>
      <c r="K35" s="38">
        <v>-3880.4</v>
      </c>
    </row>
    <row r="36" spans="1:11" ht="15.75" thickBot="1">
      <c r="A36" s="1"/>
      <c r="B36" s="1"/>
      <c r="C36" s="1" t="s">
        <v>254</v>
      </c>
      <c r="D36" s="1"/>
      <c r="E36" s="1"/>
      <c r="F36" s="89">
        <f aca="true" t="shared" si="1" ref="F36:I36">+F35</f>
        <v>-3761.38</v>
      </c>
      <c r="G36" s="89">
        <f t="shared" si="1"/>
        <v>-3784.89</v>
      </c>
      <c r="H36" s="89">
        <f t="shared" si="1"/>
        <v>-3808.55</v>
      </c>
      <c r="I36" s="89">
        <f t="shared" si="1"/>
        <v>-3832.35</v>
      </c>
      <c r="J36" s="89">
        <f>+J35</f>
        <v>-3856.3</v>
      </c>
      <c r="K36" s="89">
        <f>+K35</f>
        <v>-3880.4</v>
      </c>
    </row>
    <row r="37" spans="1:11" ht="15">
      <c r="A37" s="1"/>
      <c r="B37" s="1" t="s">
        <v>255</v>
      </c>
      <c r="C37" s="1"/>
      <c r="D37" s="1"/>
      <c r="E37" s="1"/>
      <c r="F37" s="38">
        <f aca="true" t="shared" si="2" ref="F37:I37">+F28+F33+F36</f>
        <v>-16087.59</v>
      </c>
      <c r="G37" s="38">
        <f t="shared" si="2"/>
        <v>-88988.67000000001</v>
      </c>
      <c r="H37" s="38">
        <f t="shared" si="2"/>
        <v>-132205.61</v>
      </c>
      <c r="I37" s="38">
        <f t="shared" si="2"/>
        <v>-111964.64000000001</v>
      </c>
      <c r="J37" s="38">
        <f>+J28+J33+J36</f>
        <v>-60767.73</v>
      </c>
      <c r="K37" s="38">
        <f>+K28+K33+K36</f>
        <v>65578.76000000002</v>
      </c>
    </row>
    <row r="38" spans="1:11" ht="15.75" thickBot="1">
      <c r="A38" s="1"/>
      <c r="B38" s="1" t="s">
        <v>256</v>
      </c>
      <c r="C38" s="1"/>
      <c r="D38" s="1"/>
      <c r="E38" s="1"/>
      <c r="F38" s="38">
        <v>1106573.74</v>
      </c>
      <c r="G38" s="38">
        <v>1090486.15</v>
      </c>
      <c r="H38" s="38">
        <v>1001497.48</v>
      </c>
      <c r="I38" s="38">
        <f>+H39</f>
        <v>869291.87</v>
      </c>
      <c r="J38" s="38">
        <f>+I39</f>
        <v>757327.23</v>
      </c>
      <c r="K38" s="38">
        <f>+J39</f>
        <v>696559.5</v>
      </c>
    </row>
    <row r="39" spans="1:11" ht="15.75" thickBot="1">
      <c r="A39" s="1" t="s">
        <v>257</v>
      </c>
      <c r="B39" s="1"/>
      <c r="C39" s="1"/>
      <c r="D39" s="1"/>
      <c r="E39" s="1"/>
      <c r="F39" s="91">
        <v>1090486.15</v>
      </c>
      <c r="G39" s="91">
        <v>1001497.48</v>
      </c>
      <c r="H39" s="91">
        <v>869291.87</v>
      </c>
      <c r="I39" s="91">
        <f>+I37+I38</f>
        <v>757327.23</v>
      </c>
      <c r="J39" s="91">
        <f>+J37+J38</f>
        <v>696559.5</v>
      </c>
      <c r="K39" s="91">
        <f>+K37+K38</f>
        <v>762138.26</v>
      </c>
    </row>
    <row r="40" spans="1:11" ht="15.75" thickTop="1">
      <c r="A40" s="16"/>
      <c r="B40" s="16"/>
      <c r="C40" s="16"/>
      <c r="D40" s="16"/>
      <c r="E40" s="16"/>
      <c r="F40" s="207"/>
      <c r="G40" s="207"/>
      <c r="H40" s="207"/>
      <c r="I40" s="207"/>
      <c r="J40" s="207"/>
      <c r="K40" s="207"/>
    </row>
    <row r="41" spans="7:11" ht="15">
      <c r="G41" s="207"/>
      <c r="H41" s="207"/>
      <c r="I41" s="207"/>
      <c r="J41" s="207"/>
      <c r="K41" s="207"/>
    </row>
    <row r="42" spans="7:10" ht="15">
      <c r="G42" s="207"/>
      <c r="H42" s="207"/>
      <c r="I42" s="207"/>
      <c r="J42" s="207"/>
    </row>
    <row r="43" spans="7:10" ht="15">
      <c r="G43" s="207"/>
      <c r="H43" s="207"/>
      <c r="I43" s="207"/>
      <c r="J43" s="207"/>
    </row>
    <row r="44" spans="7:10" ht="15">
      <c r="G44" s="207"/>
      <c r="H44" s="207"/>
      <c r="I44" s="207"/>
      <c r="J44" s="207"/>
    </row>
    <row r="45" spans="7:9" ht="15">
      <c r="G45" s="207"/>
      <c r="H45" s="207"/>
      <c r="I45" s="207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AFJ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YChong</cp:lastModifiedBy>
  <cp:lastPrinted>2017-01-06T18:06:31Z</cp:lastPrinted>
  <dcterms:created xsi:type="dcterms:W3CDTF">2014-05-21T03:37:04Z</dcterms:created>
  <dcterms:modified xsi:type="dcterms:W3CDTF">2017-03-16T20:40:50Z</dcterms:modified>
  <cp:category/>
  <cp:version/>
  <cp:contentType/>
  <cp:contentStatus/>
</cp:coreProperties>
</file>